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обмен\Ірина Євгеніївна\Рішення сесії ПРОГРАМА\рішення Програма 2025-2027 зміни_5_МД +кред\"/>
    </mc:Choice>
  </mc:AlternateContent>
  <xr:revisionPtr revIDLastSave="0" documentId="13_ncr:1_{7AC47649-5CEA-473E-B935-5959D977C6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до Програми" sheetId="5" r:id="rId1"/>
  </sheets>
  <definedNames>
    <definedName name="_GoBack" localSheetId="0">'Додаток до Програми'!#REF!</definedName>
    <definedName name="_xlnm.Print_Titles" localSheetId="0">'Додаток до Програми'!$15:$16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5" l="1"/>
  <c r="C47" i="5" l="1"/>
  <c r="C46" i="5" l="1"/>
  <c r="C49" i="5"/>
  <c r="C44" i="5" l="1"/>
  <c r="C45" i="5" l="1"/>
  <c r="E35" i="5" l="1"/>
  <c r="F53" i="5" l="1"/>
  <c r="E53" i="5"/>
  <c r="F43" i="5" l="1"/>
  <c r="F29" i="5" l="1"/>
  <c r="E31" i="5"/>
  <c r="E28" i="5" l="1"/>
  <c r="C27" i="5" l="1"/>
  <c r="C55" i="5" l="1"/>
  <c r="E36" i="5"/>
  <c r="F18" i="5"/>
  <c r="F39" i="5" l="1"/>
  <c r="D53" i="5"/>
  <c r="D54" i="5"/>
  <c r="E54" i="5" s="1"/>
  <c r="F23" i="5"/>
  <c r="E23" i="5"/>
  <c r="D23" i="5"/>
  <c r="E34" i="5"/>
  <c r="D24" i="5"/>
  <c r="E24" i="5" s="1"/>
  <c r="F24" i="5" s="1"/>
  <c r="E26" i="5"/>
  <c r="D21" i="5"/>
  <c r="E18" i="5"/>
  <c r="D50" i="5" l="1"/>
  <c r="F54" i="5"/>
  <c r="F50" i="5" s="1"/>
  <c r="E50" i="5"/>
  <c r="F26" i="5"/>
  <c r="H18" i="5"/>
  <c r="I18" i="5"/>
  <c r="D36" i="5" l="1"/>
  <c r="E32" i="5"/>
  <c r="D20" i="5"/>
  <c r="D17" i="5" s="1"/>
  <c r="F34" i="5"/>
  <c r="E20" i="5" l="1"/>
  <c r="F38" i="5"/>
  <c r="F37" i="5"/>
  <c r="C28" i="5"/>
  <c r="F32" i="5"/>
  <c r="E21" i="5"/>
  <c r="F21" i="5" s="1"/>
  <c r="E17" i="5" l="1"/>
  <c r="F20" i="5"/>
  <c r="F17" i="5" s="1"/>
  <c r="C20" i="5" l="1"/>
  <c r="C21" i="5"/>
  <c r="C25" i="5" l="1"/>
  <c r="C26" i="5" l="1"/>
  <c r="C22" i="5" l="1"/>
  <c r="C32" i="5" l="1"/>
  <c r="C54" i="5" l="1"/>
  <c r="C53" i="5"/>
  <c r="C51" i="5"/>
  <c r="C50" i="5" l="1"/>
  <c r="E56" i="5"/>
  <c r="E57" i="5" s="1"/>
  <c r="F56" i="5" l="1"/>
  <c r="C43" i="5"/>
  <c r="C34" i="5"/>
  <c r="C33" i="5"/>
  <c r="C36" i="5"/>
  <c r="C42" i="5"/>
  <c r="C41" i="5"/>
  <c r="C40" i="5"/>
  <c r="C39" i="5"/>
  <c r="C38" i="5"/>
  <c r="C37" i="5"/>
  <c r="C35" i="5"/>
  <c r="C24" i="5"/>
  <c r="C23" i="5"/>
  <c r="C31" i="5"/>
  <c r="C30" i="5"/>
  <c r="C29" i="5"/>
  <c r="F57" i="5" l="1"/>
  <c r="C18" i="5"/>
  <c r="C17" i="5" s="1"/>
  <c r="G18" i="5"/>
  <c r="D56" i="5"/>
  <c r="D57" i="5" s="1"/>
  <c r="C56" i="5" l="1"/>
  <c r="C57" i="5" s="1"/>
</calcChain>
</file>

<file path=xl/sharedStrings.xml><?xml version="1.0" encoding="utf-8"?>
<sst xmlns="http://schemas.openxmlformats.org/spreadsheetml/2006/main" count="100" uniqueCount="96">
  <si>
    <t>Фінансове забезпечення</t>
  </si>
  <si>
    <t>№</t>
  </si>
  <si>
    <t>Заходи програми</t>
  </si>
  <si>
    <t>Кошти бюджету Кременчуцької міської територіальної громади: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</si>
  <si>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</si>
  <si>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</si>
  <si>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</si>
  <si>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</si>
  <si>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</si>
  <si>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</si>
  <si>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</si>
  <si>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</si>
  <si>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</si>
  <si>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</si>
  <si>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</si>
  <si>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</si>
  <si>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</si>
  <si>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</si>
  <si>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</si>
  <si>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</si>
  <si>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</si>
  <si>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</si>
  <si>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1.19.</t>
  </si>
  <si>
    <t>2.</t>
  </si>
  <si>
    <t>2.1.</t>
  </si>
  <si>
    <t>2.2.</t>
  </si>
  <si>
    <t>2.3.</t>
  </si>
  <si>
    <t>3.</t>
  </si>
  <si>
    <t>Додаток</t>
  </si>
  <si>
    <t>4.</t>
  </si>
  <si>
    <t>В тому числі по роках</t>
  </si>
  <si>
    <t>Витрати за Програмою</t>
  </si>
  <si>
    <t>Внески до статутного капіталу на розробку проєкту будівництва об’їзної дороги для облаштування другого в’їзду до кладовища по вул. Свіштовській</t>
  </si>
  <si>
    <t>Внески до статутного капіталу на будівництво об’їзної дороги для облаштування другого в’їзду до кладовища по вул. Свіштовській</t>
  </si>
  <si>
    <t>Внески до статутного капіталу на капітальний ремонт огорожі на Ревівському кладовищі</t>
  </si>
  <si>
    <t>Внески до статутного капіталу на капітальний ремонт огорож на міських кладовищах</t>
  </si>
  <si>
    <t>Внески до статутного капіталу на капітальний ремонт покрівлі виробничого корпусу КП «СКРП»</t>
  </si>
  <si>
    <t>Внески до статутного капіталу на капітальний ремонт мережі водопостачання на кладовищі по вул. Свіштовській</t>
  </si>
  <si>
    <t>Розроблення документації із землеустрою для експлуатації та обслуговування кладовищ</t>
  </si>
  <si>
    <t>Незалежна оцінка на право постійного користування земельними ділянками, виділеними під кладовища, для ведення господарської діяльності</t>
  </si>
  <si>
    <t xml:space="preserve">до Програми утримання кладовищ Кременчуцької </t>
  </si>
  <si>
    <t xml:space="preserve">Програми утримання кладовищ Кременчуцької міської територіальної громади  </t>
  </si>
  <si>
    <t xml:space="preserve">Директор КП «СКРП» </t>
  </si>
  <si>
    <t>Віталій СТЕФАНЕНКО</t>
  </si>
  <si>
    <t>Внески до статутного капіталу на реконструкцію частини міського кладовища з улаштуванням зони поховань сектора «В» за адресою: м. Кременчук, вул. Свіштовська</t>
  </si>
  <si>
    <t>Разом фінансове забезпечення утримання кладовищ Потоківського старостинського округу:</t>
  </si>
  <si>
    <t>Внески до статутного капіталу на реконструкцію будівель громадських туалетів на міських кладовищах</t>
  </si>
  <si>
    <t xml:space="preserve">міської територіальної громади та забезпечення </t>
  </si>
  <si>
    <t>Придбання прапорів України для проведення урочистих заходів із вшанування пам’яті загиблих (померлих) громадян Кременчуцької міської територіальної громади</t>
  </si>
  <si>
    <t xml:space="preserve">Виконання заходів, пов’язаних з прибиранням снігу на об’єктах благоустрою в межах Кременчуцької міської територіальної громади </t>
  </si>
  <si>
    <t>та забезпечення діяльності КП «СКРП» на 2025-2027 роки</t>
  </si>
  <si>
    <t>Внески до статутного капіталу на придбання причепа тракторного двовісного самоскидного на трактор колісний Foton 504</t>
  </si>
  <si>
    <t xml:space="preserve">Внески до статутного капіталу на придбання автотранспортного засобу для перевезення тіл померлих </t>
  </si>
  <si>
    <t>1.18.</t>
  </si>
  <si>
    <t>1.20.</t>
  </si>
  <si>
    <t>1.21.</t>
  </si>
  <si>
    <t>1.22.</t>
  </si>
  <si>
    <t>1.23.</t>
  </si>
  <si>
    <t>1.24.</t>
  </si>
  <si>
    <t>1.25.</t>
  </si>
  <si>
    <t>РАЗОМ фінансове забезпечення Програми утримання кладовищ Кременчуцької міської територіальної громади та забезпечення діяльності КП «СКРП»:</t>
  </si>
  <si>
    <t>2.4.</t>
  </si>
  <si>
    <t>Проведення інвентарізації місць поховань на кладовищах Потоківського старостинського округу</t>
  </si>
  <si>
    <t>діяльності КП «СКРП» на 2025-2027 роки</t>
  </si>
  <si>
    <t>Придбання механізму швидкоз’єму механічного в зборі для екскаватора-навантажувача</t>
  </si>
  <si>
    <t>2) утримання у належному естетичному та санітарному стані Меморіального сектору почесних поховань захисників і захисниць України, сектору поховання померлих осіб без певного місця проживання, одиноких громадян, знайдених трупів людей та місця поховання мертвонароджених (померлих) дітей, від поховання яких відмовилися рідні;
3) утримання у належному естетичному та санітарному стані 60 одиниць об’єктів історії (могил, надгробків та пам’ятників)</t>
  </si>
  <si>
    <t>Проведення інвентаризації місць поховань на кладовищах міста Кременчука</t>
  </si>
  <si>
    <t>Внески до статутного капіталу на придбання екскаватора для навантаження та прибирання відходів та снігу</t>
  </si>
  <si>
    <t>Внески до статутного капіталу на придбання самоскида з гідравлічним поворотним відвалом для прибирання снігу та вивезення відходів з кладовищ - 2 одиниці</t>
  </si>
  <si>
    <t>Разом фінансове забезпечення утримання  кладовищ міста Кременчука та забезпечення діяльності КП «СКРП»:</t>
  </si>
  <si>
    <t>Додаток 2</t>
  </si>
  <si>
    <t xml:space="preserve">до рішення Кременчуцької міської ради </t>
  </si>
  <si>
    <t>Кременчуцького району Полтавської області</t>
  </si>
  <si>
    <t>1.26.</t>
  </si>
  <si>
    <t>Виконання зобов’язань, що виникли у 2024 році та не були профінансовані</t>
  </si>
  <si>
    <t>1.27.</t>
  </si>
  <si>
    <t>2) утримання у належному естетичному та санітарному стані Пам’ятного знаку жертвам Голодомору 1932-33 рр. на території кладовища в с. Потоки</t>
  </si>
  <si>
    <t>Внески до статутного капіталу на розроблення проєктно-кошторисної документації та експертизу кошторисної частини проєкту на реконструкцію частини міського кладовища з улаштуванням зони поховань сектора «Г» за адресою: м. Кременчук, вул. Свіштовська</t>
  </si>
  <si>
    <t>Утримання кладовищ міста Кременчука в належному естетичному та санітарному стані:
1) прибирання доріг, алей, тротуарів, доріжок між секторами поховань, ритуальних майданчиків від відходів, листя та снігу; очищення урн від відходів; прибирання громадських туалетів; прибирання майданчиків для відходів; покіс трави в літній період;  навантаження та вивезення відходів з території кладовищ вантажними автомобілями; видалення окремих засохлих та пошкоджених дерев і кущів на міських кладовищах; поточний ремонт будівель та споруд, мереж водопостачання тощо;</t>
  </si>
  <si>
    <t>(грн)</t>
  </si>
  <si>
    <t>Придбання лампадок для проведення урочистих заходів із вшанування пам’яті загиблих (померлих) громадян Кременчуцької міської територіальної громади</t>
  </si>
  <si>
    <t>Придбання кущорізів (мотокос) для виконання робіт із благоустрою на кладовищах Кременчуцької міської територіальної громади</t>
  </si>
  <si>
    <t>Внески до статутного капіталу на виконання робіт із благоустрою Меморіального сектора почесних поховань захисників і захисниць України на кладовищі по вул. Свіштовській (облаштування місць поховань з укладанням тротуарної плитки)</t>
  </si>
  <si>
    <t>Внески до статутного капіталу на оплату робіт із благоустрою Новоміського кладовища (реконструкція покриття майданчика для панахиди з укладанням тротуарної плитки)</t>
  </si>
  <si>
    <t>Внески до статутного капіталу на виконання робіт із благоустрою кладовища по вул. Свіштовській  (капітальний ремонт та облаштування майданчиків для збору відходів)</t>
  </si>
  <si>
    <t>Внески до статутного капіталу на капітальний ремонт покрівлі будівлі патанатомії за адресою: м. Кременчук, вул. Лікаря Богаєвського, 60/1</t>
  </si>
  <si>
    <t>1.28.</t>
  </si>
  <si>
    <t>1.29.</t>
  </si>
  <si>
    <t>1.30.</t>
  </si>
  <si>
    <t>Виплата відсотків за кредитом АТ «Укрексімбанк»</t>
  </si>
  <si>
    <t>Внески до статутного капіталу на погашення основної суми за кредитом відповідно до договору кредитування з АТ «Укрексімбанк»</t>
  </si>
  <si>
    <t>Сплата єдиноразової комісії відповідно до договору кредитування з АТ «Укрексімбанк»</t>
  </si>
  <si>
    <t>1.31.</t>
  </si>
  <si>
    <t>Виплата муніціпальної доплати з нарахуваннями працівникам підприємства</t>
  </si>
  <si>
    <r>
      <t xml:space="preserve">Утримання кладовищ Потоківського старостинського округу в належному </t>
    </r>
    <r>
      <rPr>
        <sz val="12"/>
        <color rgb="FF000000"/>
        <rFont val="Times New Roman"/>
        <family val="1"/>
        <charset val="204"/>
      </rPr>
      <t>естетичному та санітарному</t>
    </r>
    <r>
      <rPr>
        <sz val="12"/>
        <color theme="1"/>
        <rFont val="Times New Roman"/>
        <family val="1"/>
        <charset val="204"/>
      </rPr>
      <t xml:space="preserve"> стані:
1) прибирання доріг, алей, тротуарів, доріжок між секторами поховань, ритуальних майданчиків від відходів, листя та снігу,  покіс трави в літній період; очищення урн від відходів на міських кладовищах; прибирання громадських туалетів на кладовищах; навантаження та вивезення відходів з території кладовищ вантажними автомобілями,видалення окремих засохлих та пошкоджених дерев і кущів на кладовищах  тощо;</t>
    </r>
  </si>
  <si>
    <t>18 липня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</si>
</sst>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justify"/>
    </xf>
    <xf numFmtId="4" fontId="3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left" indent="3"/>
    </xf>
    <xf numFmtId="0" fontId="4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justify" wrapText="1"/>
    </xf>
    <xf numFmtId="0" fontId="6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3"/>
    </xf>
    <xf numFmtId="4" fontId="4" fillId="0" borderId="7" xfId="0" applyNumberFormat="1" applyFont="1" applyFill="1" applyBorder="1" applyAlignment="1">
      <alignment vertical="center" wrapText="1"/>
    </xf>
    <xf numFmtId="4" fontId="5" fillId="0" borderId="3" xfId="0" applyNumberFormat="1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view="pageBreakPreview" zoomScale="85" zoomScaleNormal="100" zoomScaleSheetLayoutView="85" workbookViewId="0">
      <selection activeCell="B3" sqref="B3"/>
    </sheetView>
  </sheetViews>
  <sheetFormatPr defaultRowHeight="15.75" outlineLevelRow="1" outlineLevelCol="1" x14ac:dyDescent="0.25"/>
  <cols>
    <col min="1" max="1" width="5.7109375" style="2" customWidth="1"/>
    <col min="2" max="2" width="66" style="2" customWidth="1"/>
    <col min="3" max="3" width="17.7109375" style="2" customWidth="1"/>
    <col min="4" max="4" width="14.85546875" style="2" customWidth="1" outlineLevel="1"/>
    <col min="5" max="5" width="15.140625" style="2" customWidth="1"/>
    <col min="6" max="6" width="16.140625" style="2" customWidth="1"/>
    <col min="7" max="9" width="14.7109375" style="2" hidden="1" customWidth="1" outlineLevel="1"/>
    <col min="10" max="10" width="9.140625" style="2" collapsed="1"/>
    <col min="11" max="16384" width="9.140625" style="2"/>
  </cols>
  <sheetData>
    <row r="1" spans="1:6" x14ac:dyDescent="0.25">
      <c r="C1" s="28" t="s">
        <v>70</v>
      </c>
    </row>
    <row r="2" spans="1:6" x14ac:dyDescent="0.25">
      <c r="C2" s="39" t="s">
        <v>71</v>
      </c>
    </row>
    <row r="3" spans="1:6" x14ac:dyDescent="0.25">
      <c r="C3" s="39" t="s">
        <v>72</v>
      </c>
    </row>
    <row r="4" spans="1:6" x14ac:dyDescent="0.25">
      <c r="C4" s="39" t="s">
        <v>95</v>
      </c>
    </row>
    <row r="5" spans="1:6" ht="9.75" customHeight="1" x14ac:dyDescent="0.25"/>
    <row r="6" spans="1:6" x14ac:dyDescent="0.25">
      <c r="C6" s="28" t="s">
        <v>28</v>
      </c>
    </row>
    <row r="7" spans="1:6" x14ac:dyDescent="0.25">
      <c r="C7" s="28" t="s">
        <v>40</v>
      </c>
    </row>
    <row r="8" spans="1:6" x14ac:dyDescent="0.25">
      <c r="C8" s="28" t="s">
        <v>47</v>
      </c>
    </row>
    <row r="9" spans="1:6" x14ac:dyDescent="0.25">
      <c r="C9" s="28" t="s">
        <v>63</v>
      </c>
    </row>
    <row r="10" spans="1:6" x14ac:dyDescent="0.25">
      <c r="A10" s="5"/>
      <c r="C10" s="4"/>
    </row>
    <row r="11" spans="1:6" ht="20.100000000000001" customHeight="1" x14ac:dyDescent="0.25">
      <c r="A11" s="45" t="s">
        <v>0</v>
      </c>
      <c r="B11" s="45"/>
      <c r="C11" s="45"/>
      <c r="D11" s="45"/>
      <c r="E11" s="45"/>
      <c r="F11" s="45"/>
    </row>
    <row r="12" spans="1:6" ht="20.100000000000001" customHeight="1" x14ac:dyDescent="0.25">
      <c r="A12" s="45" t="s">
        <v>41</v>
      </c>
      <c r="B12" s="45"/>
      <c r="C12" s="45"/>
      <c r="D12" s="45"/>
      <c r="E12" s="45"/>
      <c r="F12" s="45"/>
    </row>
    <row r="13" spans="1:6" ht="20.100000000000001" customHeight="1" x14ac:dyDescent="0.25">
      <c r="A13" s="45" t="s">
        <v>50</v>
      </c>
      <c r="B13" s="45"/>
      <c r="C13" s="45"/>
      <c r="D13" s="45"/>
      <c r="E13" s="45"/>
      <c r="F13" s="45"/>
    </row>
    <row r="14" spans="1:6" x14ac:dyDescent="0.25">
      <c r="A14" s="5"/>
      <c r="F14" s="1" t="s">
        <v>79</v>
      </c>
    </row>
    <row r="15" spans="1:6" x14ac:dyDescent="0.25">
      <c r="A15" s="46" t="s">
        <v>1</v>
      </c>
      <c r="B15" s="47" t="s">
        <v>2</v>
      </c>
      <c r="C15" s="48" t="s">
        <v>31</v>
      </c>
      <c r="D15" s="46" t="s">
        <v>30</v>
      </c>
      <c r="E15" s="46"/>
      <c r="F15" s="46"/>
    </row>
    <row r="16" spans="1:6" x14ac:dyDescent="0.25">
      <c r="A16" s="46"/>
      <c r="B16" s="47"/>
      <c r="C16" s="49"/>
      <c r="D16" s="6">
        <v>2025</v>
      </c>
      <c r="E16" s="6">
        <v>2026</v>
      </c>
      <c r="F16" s="6">
        <v>2027</v>
      </c>
    </row>
    <row r="17" spans="1:9" ht="46.5" customHeight="1" x14ac:dyDescent="0.25">
      <c r="A17" s="29" t="s">
        <v>4</v>
      </c>
      <c r="B17" s="32" t="s">
        <v>69</v>
      </c>
      <c r="C17" s="20">
        <f>SUM(C18:C49)</f>
        <v>166646227.17999998</v>
      </c>
      <c r="D17" s="20">
        <f>SUM(D18:D49)</f>
        <v>50171678.879999995</v>
      </c>
      <c r="E17" s="20">
        <f>SUM(E18:E49)</f>
        <v>70747421.930000007</v>
      </c>
      <c r="F17" s="20">
        <f>SUM(F18:F49)</f>
        <v>45727126.369999997</v>
      </c>
    </row>
    <row r="18" spans="1:9" ht="171" customHeight="1" outlineLevel="1" x14ac:dyDescent="0.25">
      <c r="A18" s="7" t="s">
        <v>5</v>
      </c>
      <c r="B18" s="22" t="s">
        <v>78</v>
      </c>
      <c r="C18" s="42">
        <f>SUM(D18:F18)</f>
        <v>63932460</v>
      </c>
      <c r="D18" s="8">
        <v>20143790</v>
      </c>
      <c r="E18" s="8">
        <f>21282330+100000</f>
        <v>21382330</v>
      </c>
      <c r="F18" s="8">
        <f>22296340+110000</f>
        <v>22406340</v>
      </c>
      <c r="G18" s="26">
        <f>D18+D51</f>
        <v>20948153</v>
      </c>
      <c r="H18" s="26">
        <f>E18+E51</f>
        <v>22238160</v>
      </c>
      <c r="I18" s="26">
        <f>F18+F51</f>
        <v>23308013</v>
      </c>
    </row>
    <row r="19" spans="1:9" ht="129.75" customHeight="1" outlineLevel="1" x14ac:dyDescent="0.25">
      <c r="A19" s="38" t="s">
        <v>5</v>
      </c>
      <c r="B19" s="21" t="s">
        <v>65</v>
      </c>
      <c r="C19" s="40"/>
      <c r="D19" s="41"/>
      <c r="E19" s="41"/>
      <c r="F19" s="41"/>
    </row>
    <row r="20" spans="1:9" ht="47.25" outlineLevel="1" x14ac:dyDescent="0.25">
      <c r="A20" s="13" t="s">
        <v>6</v>
      </c>
      <c r="B20" s="33" t="s">
        <v>80</v>
      </c>
      <c r="C20" s="14">
        <f t="shared" ref="C20" si="0">SUM(D20:F20)</f>
        <v>118011</v>
      </c>
      <c r="D20" s="16">
        <f>ROUND(28210/650*650*1.097,0)</f>
        <v>30946</v>
      </c>
      <c r="E20" s="16">
        <f>ROUND(D20/650*800*1.099,0)</f>
        <v>41858</v>
      </c>
      <c r="F20" s="16">
        <f>ROUND(E20*1.08,0)</f>
        <v>45207</v>
      </c>
    </row>
    <row r="21" spans="1:9" ht="47.25" outlineLevel="1" x14ac:dyDescent="0.25">
      <c r="A21" s="13" t="s">
        <v>7</v>
      </c>
      <c r="B21" s="33" t="s">
        <v>48</v>
      </c>
      <c r="C21" s="14">
        <f t="shared" ref="C21" si="1">SUM(D21:F21)</f>
        <v>702908</v>
      </c>
      <c r="D21" s="16">
        <f>ROUND(52000/400*1500*1.097,0)</f>
        <v>213915</v>
      </c>
      <c r="E21" s="16">
        <f>ROUND(D21*1.099,0)</f>
        <v>235093</v>
      </c>
      <c r="F21" s="16">
        <f>ROUND(E21*1.08,0)</f>
        <v>253900</v>
      </c>
    </row>
    <row r="22" spans="1:9" ht="47.25" outlineLevel="1" x14ac:dyDescent="0.25">
      <c r="A22" s="13" t="s">
        <v>8</v>
      </c>
      <c r="B22" s="31" t="s">
        <v>49</v>
      </c>
      <c r="C22" s="11">
        <f>SUM(D22:F22)</f>
        <v>687462</v>
      </c>
      <c r="D22" s="12">
        <v>209214</v>
      </c>
      <c r="E22" s="12">
        <v>229927</v>
      </c>
      <c r="F22" s="12">
        <v>248321</v>
      </c>
      <c r="G22" s="26"/>
    </row>
    <row r="23" spans="1:9" ht="39.75" customHeight="1" outlineLevel="1" x14ac:dyDescent="0.25">
      <c r="A23" s="10" t="s">
        <v>9</v>
      </c>
      <c r="B23" s="17" t="s">
        <v>38</v>
      </c>
      <c r="C23" s="14">
        <f>SUM(D23:F23)</f>
        <v>311398</v>
      </c>
      <c r="D23" s="15">
        <f>ROUND((70000+20000)*1.097,0)</f>
        <v>98730</v>
      </c>
      <c r="E23" s="15">
        <f>ROUND((70000+20000)*1.097*1.099,0)</f>
        <v>108504</v>
      </c>
      <c r="F23" s="15">
        <f>ROUND((60000+20000)*1.097*1.099*1.08,0)</f>
        <v>104164</v>
      </c>
    </row>
    <row r="24" spans="1:9" ht="47.25" outlineLevel="1" x14ac:dyDescent="0.25">
      <c r="A24" s="13" t="s">
        <v>10</v>
      </c>
      <c r="B24" s="17" t="s">
        <v>39</v>
      </c>
      <c r="C24" s="14">
        <f>SUM(D24:F24)</f>
        <v>216279</v>
      </c>
      <c r="D24" s="15">
        <f>ROUND(197460/3,0)</f>
        <v>65820</v>
      </c>
      <c r="E24" s="15">
        <f>ROUND(D24*1.099,0)</f>
        <v>72336</v>
      </c>
      <c r="F24" s="15">
        <f>ROUND(E24*1.08,0)</f>
        <v>78123</v>
      </c>
    </row>
    <row r="25" spans="1:9" ht="31.5" customHeight="1" outlineLevel="1" x14ac:dyDescent="0.25">
      <c r="A25" s="13" t="s">
        <v>11</v>
      </c>
      <c r="B25" s="18" t="s">
        <v>66</v>
      </c>
      <c r="C25" s="14">
        <f t="shared" ref="C25" si="2">SUM(D25:F25)</f>
        <v>1583593</v>
      </c>
      <c r="D25" s="16"/>
      <c r="E25" s="16">
        <v>846686</v>
      </c>
      <c r="F25" s="16">
        <v>736907</v>
      </c>
    </row>
    <row r="26" spans="1:9" ht="47.25" outlineLevel="1" x14ac:dyDescent="0.25">
      <c r="A26" s="13" t="s">
        <v>12</v>
      </c>
      <c r="B26" s="18" t="s">
        <v>81</v>
      </c>
      <c r="C26" s="14">
        <f t="shared" ref="C26" si="3">SUM(D26:F26)</f>
        <v>457333</v>
      </c>
      <c r="D26" s="16">
        <v>181196</v>
      </c>
      <c r="E26" s="16">
        <f>ROUND(D26/6*4*1.099,0)+2</f>
        <v>132758</v>
      </c>
      <c r="F26" s="16">
        <f>ROUND(E26*1.08,0)</f>
        <v>143379</v>
      </c>
    </row>
    <row r="27" spans="1:9" ht="39.75" customHeight="1" outlineLevel="1" x14ac:dyDescent="0.25">
      <c r="A27" s="13" t="s">
        <v>13</v>
      </c>
      <c r="B27" s="34" t="s">
        <v>67</v>
      </c>
      <c r="C27" s="14">
        <f>SUM(D27:F27)</f>
        <v>5481709</v>
      </c>
      <c r="D27" s="16"/>
      <c r="E27" s="16">
        <v>5481709</v>
      </c>
      <c r="F27" s="16"/>
    </row>
    <row r="28" spans="1:9" ht="31.5" outlineLevel="1" x14ac:dyDescent="0.25">
      <c r="A28" s="13" t="s">
        <v>14</v>
      </c>
      <c r="B28" s="34" t="s">
        <v>64</v>
      </c>
      <c r="C28" s="14">
        <f>SUM(D28:F28)</f>
        <v>77640</v>
      </c>
      <c r="D28" s="16"/>
      <c r="E28" s="16">
        <f>ROUND(64399*1.097*1.099,0)</f>
        <v>77640</v>
      </c>
      <c r="F28" s="16"/>
    </row>
    <row r="29" spans="1:9" ht="32.25" customHeight="1" outlineLevel="1" x14ac:dyDescent="0.25">
      <c r="A29" s="13" t="s">
        <v>15</v>
      </c>
      <c r="B29" s="34" t="s">
        <v>51</v>
      </c>
      <c r="C29" s="14">
        <f t="shared" ref="C29:C34" si="4">SUM(D29:F29)</f>
        <v>535143</v>
      </c>
      <c r="D29" s="16"/>
      <c r="E29" s="16"/>
      <c r="F29" s="16">
        <f>ROUND(411000*1.097*1.099*1.08,0)</f>
        <v>535143</v>
      </c>
    </row>
    <row r="30" spans="1:9" ht="47.25" outlineLevel="1" x14ac:dyDescent="0.25">
      <c r="A30" s="13" t="s">
        <v>16</v>
      </c>
      <c r="B30" s="34" t="s">
        <v>68</v>
      </c>
      <c r="C30" s="14">
        <f t="shared" si="4"/>
        <v>9505150</v>
      </c>
      <c r="D30" s="16"/>
      <c r="E30" s="16">
        <v>4528420</v>
      </c>
      <c r="F30" s="16">
        <v>4976730</v>
      </c>
    </row>
    <row r="31" spans="1:9" ht="42.75" customHeight="1" outlineLevel="1" x14ac:dyDescent="0.25">
      <c r="A31" s="13" t="s">
        <v>17</v>
      </c>
      <c r="B31" s="34" t="s">
        <v>52</v>
      </c>
      <c r="C31" s="14">
        <f t="shared" si="4"/>
        <v>2535824</v>
      </c>
      <c r="D31" s="16"/>
      <c r="E31" s="16">
        <f>ROUND((1764300+4922+13800+22540+8740+1610+41538+6992+20700+13800+1288+12098+3036+2300+18032+4692+4692+2300+1426+154560)*1.097*1.099,0)</f>
        <v>2535824</v>
      </c>
      <c r="F31" s="16"/>
    </row>
    <row r="32" spans="1:9" ht="65.25" customHeight="1" outlineLevel="1" x14ac:dyDescent="0.25">
      <c r="A32" s="13" t="s">
        <v>18</v>
      </c>
      <c r="B32" s="17" t="s">
        <v>82</v>
      </c>
      <c r="C32" s="14">
        <f t="shared" si="4"/>
        <v>8791340</v>
      </c>
      <c r="D32" s="15">
        <v>3265170</v>
      </c>
      <c r="E32" s="16">
        <f>ROUND(D32*1.099,0)</f>
        <v>3588422</v>
      </c>
      <c r="F32" s="16">
        <f>ROUND(E32/2*1.08,0)</f>
        <v>1937748</v>
      </c>
    </row>
    <row r="33" spans="1:6" ht="47.25" outlineLevel="1" x14ac:dyDescent="0.25">
      <c r="A33" s="13" t="s">
        <v>19</v>
      </c>
      <c r="B33" s="17" t="s">
        <v>83</v>
      </c>
      <c r="C33" s="14">
        <f t="shared" si="4"/>
        <v>1720247</v>
      </c>
      <c r="D33" s="16"/>
      <c r="E33" s="16">
        <v>1720247</v>
      </c>
      <c r="F33" s="16"/>
    </row>
    <row r="34" spans="1:6" ht="47.25" outlineLevel="1" x14ac:dyDescent="0.25">
      <c r="A34" s="13" t="s">
        <v>20</v>
      </c>
      <c r="B34" s="17" t="s">
        <v>84</v>
      </c>
      <c r="C34" s="14">
        <f t="shared" si="4"/>
        <v>1642960</v>
      </c>
      <c r="D34" s="16">
        <v>500000</v>
      </c>
      <c r="E34" s="16">
        <f>D34*1.099</f>
        <v>549500</v>
      </c>
      <c r="F34" s="16">
        <f>E34*1.08</f>
        <v>593460</v>
      </c>
    </row>
    <row r="35" spans="1:6" ht="36" customHeight="1" outlineLevel="1" x14ac:dyDescent="0.25">
      <c r="A35" s="13" t="s">
        <v>21</v>
      </c>
      <c r="B35" s="17" t="s">
        <v>46</v>
      </c>
      <c r="C35" s="14">
        <f t="shared" ref="C35:C43" si="5">SUM(D35:F35)</f>
        <v>392488</v>
      </c>
      <c r="D35" s="15">
        <v>186988</v>
      </c>
      <c r="E35" s="15">
        <f>ROUND(186988*1.099,0)</f>
        <v>205500</v>
      </c>
      <c r="F35" s="15"/>
    </row>
    <row r="36" spans="1:6" ht="47.25" outlineLevel="1" x14ac:dyDescent="0.25">
      <c r="A36" s="13" t="s">
        <v>53</v>
      </c>
      <c r="B36" s="17" t="s">
        <v>44</v>
      </c>
      <c r="C36" s="14">
        <f>SUM(D36:F36)</f>
        <v>50378214</v>
      </c>
      <c r="D36" s="16">
        <f>48002110/2</f>
        <v>24001055</v>
      </c>
      <c r="E36" s="16">
        <f>ROUND(48002110/2*1.099,0)</f>
        <v>26377159</v>
      </c>
      <c r="F36" s="16"/>
    </row>
    <row r="37" spans="1:6" ht="47.25" outlineLevel="1" x14ac:dyDescent="0.25">
      <c r="A37" s="13" t="s">
        <v>22</v>
      </c>
      <c r="B37" s="17" t="s">
        <v>32</v>
      </c>
      <c r="C37" s="14">
        <f t="shared" si="5"/>
        <v>85823</v>
      </c>
      <c r="D37" s="15"/>
      <c r="E37" s="15"/>
      <c r="F37" s="15">
        <f>ROUND(62300*1.058*1.097*1.099*1.08,0)</f>
        <v>85823</v>
      </c>
    </row>
    <row r="38" spans="1:6" ht="45" customHeight="1" outlineLevel="1" x14ac:dyDescent="0.25">
      <c r="A38" s="13" t="s">
        <v>54</v>
      </c>
      <c r="B38" s="17" t="s">
        <v>33</v>
      </c>
      <c r="C38" s="14">
        <f t="shared" si="5"/>
        <v>8954206</v>
      </c>
      <c r="D38" s="15"/>
      <c r="E38" s="15"/>
      <c r="F38" s="15">
        <f>ROUND(6500000*1.058*1.097*1.099*1.08,0)</f>
        <v>8954206</v>
      </c>
    </row>
    <row r="39" spans="1:6" ht="39.950000000000003" customHeight="1" outlineLevel="1" x14ac:dyDescent="0.25">
      <c r="A39" s="13" t="s">
        <v>55</v>
      </c>
      <c r="B39" s="17" t="s">
        <v>34</v>
      </c>
      <c r="C39" s="14">
        <f t="shared" si="5"/>
        <v>520446</v>
      </c>
      <c r="D39" s="15"/>
      <c r="E39" s="15"/>
      <c r="F39" s="15">
        <f>ROUND(377800*1.058*1.097*1.099*1.08,0)</f>
        <v>520446</v>
      </c>
    </row>
    <row r="40" spans="1:6" ht="39.950000000000003" customHeight="1" outlineLevel="1" x14ac:dyDescent="0.25">
      <c r="A40" s="13" t="s">
        <v>56</v>
      </c>
      <c r="B40" s="17" t="s">
        <v>35</v>
      </c>
      <c r="C40" s="14">
        <f t="shared" si="5"/>
        <v>1200000</v>
      </c>
      <c r="D40" s="16"/>
      <c r="E40" s="16">
        <v>400000</v>
      </c>
      <c r="F40" s="16">
        <v>800000</v>
      </c>
    </row>
    <row r="41" spans="1:6" ht="39.950000000000003" customHeight="1" outlineLevel="1" x14ac:dyDescent="0.25">
      <c r="A41" s="13" t="s">
        <v>57</v>
      </c>
      <c r="B41" s="17" t="s">
        <v>36</v>
      </c>
      <c r="C41" s="14">
        <f t="shared" si="5"/>
        <v>1500000</v>
      </c>
      <c r="D41" s="16"/>
      <c r="E41" s="16">
        <v>1500000</v>
      </c>
      <c r="F41" s="16"/>
    </row>
    <row r="42" spans="1:6" ht="39.950000000000003" customHeight="1" outlineLevel="1" x14ac:dyDescent="0.25">
      <c r="A42" s="13" t="s">
        <v>58</v>
      </c>
      <c r="B42" s="17" t="s">
        <v>37</v>
      </c>
      <c r="C42" s="14">
        <f t="shared" si="5"/>
        <v>521000</v>
      </c>
      <c r="D42" s="16"/>
      <c r="E42" s="16"/>
      <c r="F42" s="16">
        <v>521000</v>
      </c>
    </row>
    <row r="43" spans="1:6" ht="47.25" outlineLevel="1" x14ac:dyDescent="0.25">
      <c r="A43" s="13" t="s">
        <v>59</v>
      </c>
      <c r="B43" s="17" t="s">
        <v>85</v>
      </c>
      <c r="C43" s="14">
        <f t="shared" si="5"/>
        <v>2092743</v>
      </c>
      <c r="D43" s="16"/>
      <c r="E43" s="16"/>
      <c r="F43" s="16">
        <f>ROUND(501467/312*1000*1.097*1.099*1.08,0)</f>
        <v>2092743</v>
      </c>
    </row>
    <row r="44" spans="1:6" ht="39.950000000000003" customHeight="1" outlineLevel="1" x14ac:dyDescent="0.25">
      <c r="A44" s="13" t="s">
        <v>73</v>
      </c>
      <c r="B44" s="17" t="s">
        <v>74</v>
      </c>
      <c r="C44" s="14">
        <f t="shared" ref="C44" si="6">SUM(D44:F44)</f>
        <v>97062.51</v>
      </c>
      <c r="D44" s="16">
        <v>97062.51</v>
      </c>
      <c r="E44" s="16"/>
      <c r="F44" s="16"/>
    </row>
    <row r="45" spans="1:6" ht="84.75" customHeight="1" outlineLevel="1" x14ac:dyDescent="0.25">
      <c r="A45" s="13" t="s">
        <v>75</v>
      </c>
      <c r="B45" s="17" t="s">
        <v>77</v>
      </c>
      <c r="C45" s="14">
        <f t="shared" ref="C45:C48" si="7">SUM(D45:F45)</f>
        <v>413155.78</v>
      </c>
      <c r="D45" s="16">
        <v>413155.78</v>
      </c>
      <c r="E45" s="16"/>
      <c r="F45" s="16"/>
    </row>
    <row r="46" spans="1:6" ht="28.5" customHeight="1" x14ac:dyDescent="0.25">
      <c r="A46" s="13" t="s">
        <v>86</v>
      </c>
      <c r="B46" s="17" t="s">
        <v>89</v>
      </c>
      <c r="C46" s="14">
        <f t="shared" si="7"/>
        <v>379380.63</v>
      </c>
      <c r="D46" s="16">
        <v>95887.41</v>
      </c>
      <c r="E46" s="16">
        <v>161757.89000000001</v>
      </c>
      <c r="F46" s="16">
        <v>121735.33</v>
      </c>
    </row>
    <row r="47" spans="1:6" ht="48.75" customHeight="1" x14ac:dyDescent="0.25">
      <c r="A47" s="13" t="s">
        <v>87</v>
      </c>
      <c r="B47" s="17" t="s">
        <v>90</v>
      </c>
      <c r="C47" s="14">
        <f t="shared" si="7"/>
        <v>1429377.6</v>
      </c>
      <c r="D47" s="16">
        <v>285875.52</v>
      </c>
      <c r="E47" s="16">
        <v>571751.04</v>
      </c>
      <c r="F47" s="16">
        <v>571751.04</v>
      </c>
    </row>
    <row r="48" spans="1:6" ht="39.950000000000003" customHeight="1" outlineLevel="1" x14ac:dyDescent="0.25">
      <c r="A48" s="13" t="s">
        <v>88</v>
      </c>
      <c r="B48" s="17" t="s">
        <v>91</v>
      </c>
      <c r="C48" s="14">
        <f t="shared" si="7"/>
        <v>21440.66</v>
      </c>
      <c r="D48" s="16">
        <v>21440.66</v>
      </c>
      <c r="E48" s="16"/>
      <c r="F48" s="16"/>
    </row>
    <row r="49" spans="1:6" ht="51" customHeight="1" x14ac:dyDescent="0.25">
      <c r="A49" s="13" t="s">
        <v>92</v>
      </c>
      <c r="B49" s="17" t="s">
        <v>93</v>
      </c>
      <c r="C49" s="14">
        <f t="shared" ref="C49" si="8">SUM(D49:F49)</f>
        <v>361433</v>
      </c>
      <c r="D49" s="16">
        <v>361433</v>
      </c>
      <c r="E49" s="16"/>
      <c r="F49" s="16"/>
    </row>
    <row r="50" spans="1:6" s="9" customFormat="1" ht="43.5" customHeight="1" outlineLevel="1" x14ac:dyDescent="0.25">
      <c r="A50" s="6" t="s">
        <v>23</v>
      </c>
      <c r="B50" s="30" t="s">
        <v>45</v>
      </c>
      <c r="C50" s="20">
        <f>SUM(C51:C55)</f>
        <v>3074764</v>
      </c>
      <c r="D50" s="20">
        <f t="shared" ref="D50:F50" si="9">SUM(D51:D55)</f>
        <v>920336</v>
      </c>
      <c r="E50" s="20">
        <f t="shared" si="9"/>
        <v>1053764</v>
      </c>
      <c r="F50" s="20">
        <f t="shared" si="9"/>
        <v>1100664</v>
      </c>
    </row>
    <row r="51" spans="1:6" s="9" customFormat="1" ht="163.5" customHeight="1" outlineLevel="1" x14ac:dyDescent="0.25">
      <c r="A51" s="7" t="s">
        <v>24</v>
      </c>
      <c r="B51" s="44" t="s">
        <v>94</v>
      </c>
      <c r="C51" s="42">
        <f>SUM(D51:F51)</f>
        <v>2561866</v>
      </c>
      <c r="D51" s="8">
        <v>804363</v>
      </c>
      <c r="E51" s="8">
        <v>855830</v>
      </c>
      <c r="F51" s="8">
        <v>901673</v>
      </c>
    </row>
    <row r="52" spans="1:6" s="9" customFormat="1" ht="57" customHeight="1" outlineLevel="1" x14ac:dyDescent="0.25">
      <c r="A52" s="10" t="s">
        <v>24</v>
      </c>
      <c r="B52" s="43" t="s">
        <v>76</v>
      </c>
      <c r="C52" s="11"/>
      <c r="D52" s="8"/>
      <c r="E52" s="8"/>
      <c r="F52" s="8"/>
    </row>
    <row r="53" spans="1:6" ht="41.25" customHeight="1" outlineLevel="1" x14ac:dyDescent="0.25">
      <c r="A53" s="10" t="s">
        <v>25</v>
      </c>
      <c r="B53" s="21" t="s">
        <v>38</v>
      </c>
      <c r="C53" s="11">
        <f>SUM(D53:F53)</f>
        <v>144186</v>
      </c>
      <c r="D53" s="15">
        <f>ROUND((20000+20000)*1.097,0)</f>
        <v>43880</v>
      </c>
      <c r="E53" s="15">
        <f>ROUND((20000+20000)*1.097*1.099,0)</f>
        <v>48224</v>
      </c>
      <c r="F53" s="15">
        <f>ROUND((20000+20000)*1.097*1.099*1.08,0)</f>
        <v>52082</v>
      </c>
    </row>
    <row r="54" spans="1:6" ht="55.5" customHeight="1" outlineLevel="1" x14ac:dyDescent="0.25">
      <c r="A54" s="7" t="s">
        <v>26</v>
      </c>
      <c r="B54" s="22" t="s">
        <v>39</v>
      </c>
      <c r="C54" s="42">
        <f>SUM(D54:F54)</f>
        <v>236891</v>
      </c>
      <c r="D54" s="15">
        <f>ROUND(216279/3,0)</f>
        <v>72093</v>
      </c>
      <c r="E54" s="15">
        <f>ROUND(D54*1.099,0)</f>
        <v>79230</v>
      </c>
      <c r="F54" s="15">
        <f>ROUND(E54*1.08,0)</f>
        <v>85568</v>
      </c>
    </row>
    <row r="55" spans="1:6" ht="50.25" customHeight="1" outlineLevel="1" x14ac:dyDescent="0.25">
      <c r="A55" s="13" t="s">
        <v>61</v>
      </c>
      <c r="B55" s="18" t="s">
        <v>62</v>
      </c>
      <c r="C55" s="14">
        <f t="shared" ref="C55" si="10">SUM(D55:F55)</f>
        <v>131821</v>
      </c>
      <c r="D55" s="16"/>
      <c r="E55" s="16">
        <v>70480</v>
      </c>
      <c r="F55" s="16">
        <v>61341</v>
      </c>
    </row>
    <row r="56" spans="1:6" ht="47.25" x14ac:dyDescent="0.25">
      <c r="A56" s="7" t="s">
        <v>27</v>
      </c>
      <c r="B56" s="19" t="s">
        <v>60</v>
      </c>
      <c r="C56" s="20">
        <f>C50+C17</f>
        <v>169720991.17999998</v>
      </c>
      <c r="D56" s="20">
        <f>D50+D17</f>
        <v>51092014.879999995</v>
      </c>
      <c r="E56" s="20">
        <f>E50+E17</f>
        <v>71801185.930000007</v>
      </c>
      <c r="F56" s="20">
        <f>F50+F17</f>
        <v>46827790.369999997</v>
      </c>
    </row>
    <row r="57" spans="1:6" ht="31.5" x14ac:dyDescent="0.25">
      <c r="A57" s="7" t="s">
        <v>29</v>
      </c>
      <c r="B57" s="23" t="s">
        <v>3</v>
      </c>
      <c r="C57" s="24">
        <f>C56</f>
        <v>169720991.17999998</v>
      </c>
      <c r="D57" s="24">
        <f t="shared" ref="D57:F57" si="11">D56</f>
        <v>51092014.879999995</v>
      </c>
      <c r="E57" s="24">
        <f t="shared" si="11"/>
        <v>71801185.930000007</v>
      </c>
      <c r="F57" s="24">
        <f t="shared" si="11"/>
        <v>46827790.369999997</v>
      </c>
    </row>
    <row r="58" spans="1:6" x14ac:dyDescent="0.25">
      <c r="A58" s="35"/>
      <c r="B58" s="36"/>
      <c r="C58" s="37"/>
      <c r="D58" s="37"/>
      <c r="E58" s="37"/>
      <c r="F58" s="37"/>
    </row>
    <row r="59" spans="1:6" ht="16.5" customHeight="1" x14ac:dyDescent="0.25">
      <c r="A59" s="25"/>
    </row>
    <row r="60" spans="1:6" x14ac:dyDescent="0.25">
      <c r="A60" s="3" t="s">
        <v>42</v>
      </c>
      <c r="F60" s="27" t="s">
        <v>43</v>
      </c>
    </row>
  </sheetData>
  <mergeCells count="7">
    <mergeCell ref="A11:F11"/>
    <mergeCell ref="A12:F12"/>
    <mergeCell ref="A13:F13"/>
    <mergeCell ref="A15:A16"/>
    <mergeCell ref="B15:B16"/>
    <mergeCell ref="C15:C16"/>
    <mergeCell ref="D15:F15"/>
  </mergeCells>
  <pageMargins left="0.78740157480314965" right="0.78740157480314965" top="1.1811023622047245" bottom="0.39370078740157483" header="0.98425196850393704" footer="0"/>
  <pageSetup paperSize="9" scale="95" fitToHeight="6" orientation="landscape" r:id="rId1"/>
  <headerFooter differentFirst="1">
    <oddHeader>&amp;R&amp;"Times New Roman,обычный"&amp;12Продовження додатка  2 до рішення</oddHeader>
  </headerFooter>
  <rowBreaks count="3" manualBreakCount="3">
    <brk id="38" max="5" man="1"/>
    <brk id="48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до Програми</vt:lpstr>
      <vt:lpstr>'Додаток до Програми'!Заголовки_для_печати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Пользователь</cp:lastModifiedBy>
  <cp:lastPrinted>2025-07-18T12:26:10Z</cp:lastPrinted>
  <dcterms:created xsi:type="dcterms:W3CDTF">2021-11-17T11:42:24Z</dcterms:created>
  <dcterms:modified xsi:type="dcterms:W3CDTF">2025-07-18T12:36:37Z</dcterms:modified>
</cp:coreProperties>
</file>