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кономист\Програма\2025\Программа\"/>
    </mc:Choice>
  </mc:AlternateContent>
  <xr:revisionPtr revIDLastSave="0" documentId="13_ncr:1_{708A7788-0D2B-4815-A967-C4C5E22E60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1" i="5" l="1"/>
  <c r="E41" i="5"/>
  <c r="F38" i="5" l="1"/>
  <c r="F24" i="5" l="1"/>
  <c r="E26" i="5"/>
  <c r="E23" i="5" l="1"/>
  <c r="C22" i="5" l="1"/>
  <c r="C43" i="5" l="1"/>
  <c r="E31" i="5"/>
  <c r="F13" i="5"/>
  <c r="F34" i="5" l="1"/>
  <c r="D41" i="5"/>
  <c r="D42" i="5"/>
  <c r="E42" i="5" s="1"/>
  <c r="F42" i="5" s="1"/>
  <c r="F18" i="5"/>
  <c r="E18" i="5"/>
  <c r="D18" i="5"/>
  <c r="E29" i="5"/>
  <c r="E30" i="5"/>
  <c r="D19" i="5"/>
  <c r="E19" i="5" s="1"/>
  <c r="F19" i="5" s="1"/>
  <c r="E21" i="5"/>
  <c r="D16" i="5"/>
  <c r="E13" i="5"/>
  <c r="F21" i="5" l="1"/>
  <c r="H13" i="5"/>
  <c r="I13" i="5"/>
  <c r="G13" i="5"/>
  <c r="D31" i="5" l="1"/>
  <c r="E27" i="5"/>
  <c r="D15" i="5"/>
  <c r="E15" i="5" s="1"/>
  <c r="F15" i="5" s="1"/>
  <c r="F29" i="5"/>
  <c r="F33" i="5" l="1"/>
  <c r="F32" i="5"/>
  <c r="C23" i="5"/>
  <c r="F27" i="5"/>
  <c r="E16" i="5"/>
  <c r="F16" i="5" s="1"/>
  <c r="D12" i="5" l="1"/>
  <c r="C13" i="5" l="1"/>
  <c r="C15" i="5"/>
  <c r="C16" i="5" l="1"/>
  <c r="F12" i="5" l="1"/>
  <c r="E12" i="5" l="1"/>
  <c r="C20" i="5" l="1"/>
  <c r="C21" i="5" l="1"/>
  <c r="C17" i="5" l="1"/>
  <c r="C27" i="5" l="1"/>
  <c r="F39" i="5" l="1"/>
  <c r="E39" i="5"/>
  <c r="D39" i="5"/>
  <c r="C42" i="5"/>
  <c r="C41" i="5"/>
  <c r="C40" i="5"/>
  <c r="C39" i="5" l="1"/>
  <c r="E44" i="5"/>
  <c r="E45" i="5" s="1"/>
  <c r="D44" i="5"/>
  <c r="D45" i="5" l="1"/>
  <c r="F44" i="5" l="1"/>
  <c r="C38" i="5"/>
  <c r="C29" i="5"/>
  <c r="C28" i="5"/>
  <c r="C31" i="5"/>
  <c r="C37" i="5"/>
  <c r="C36" i="5"/>
  <c r="C35" i="5"/>
  <c r="C34" i="5"/>
  <c r="C33" i="5"/>
  <c r="C32" i="5"/>
  <c r="C30" i="5"/>
  <c r="C19" i="5"/>
  <c r="C18" i="5"/>
  <c r="C26" i="5"/>
  <c r="C25" i="5"/>
  <c r="C24" i="5"/>
  <c r="C12" i="5" l="1"/>
  <c r="F45" i="5"/>
  <c r="C44" i="5" l="1"/>
  <c r="C45" i="5" s="1"/>
</calcChain>
</file>

<file path=xl/sharedStrings.xml><?xml version="1.0" encoding="utf-8"?>
<sst xmlns="http://schemas.openxmlformats.org/spreadsheetml/2006/main" count="81" uniqueCount="79">
  <si>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</si>
  <si>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</si>
  <si>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</si>
  <si>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</si>
  <si>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</si>
  <si>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</si>
  <si>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</si>
  <si>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</si>
  <si>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</si>
  <si>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</si>
  <si>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</si>
  <si>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</si>
  <si>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</si>
  <si>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</si>
  <si>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</si>
  <si>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</si>
  <si>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</si>
  <si>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</si>
  <si>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</si>
  <si>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</si>
  <si>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</si>
  <si>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</si>
  <si>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</si>
  <si>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</si>
  <si>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</si>
  <si>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</si>
  <si>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</si>
  <si>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</si>
  <si>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</si>
  <si>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</si>
  <si>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грн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</si>
  <si>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</si>
  <si>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</si>
  <si>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</si>
  <si>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</si>
  <si>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</si>
  <si>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</si>
  <si>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</si>
  <si>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</si>
  <si>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Внески до статутного капіталу на оплату робіт 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</si>
  <si>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капітальний ремонт покрівлі будівлі патанатомії за адресою: вул. Лікаря Богаєвського, 60/1, м. Кременчук</t>
  </si>
  <si>
    <t>Внески до статутного капіталу на виконання робіт 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</si>
  <si>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</si>
  <si>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</si>
  <si>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</si>
  <si>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</si>
  <si>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</si>
  <si>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</si>
  <si>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</si>
  <si>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Разом фінансове забезпечення утримання кладовищ Потоківського старостинського округу:</t>
  </si>
  <si>
    <t>Внески до статутного капіталу на реконструкцію будівель громадських туалетів на міських кладовищах</t>
  </si>
  <si>
    <t>Придбання лампадок для проведення урочистих заходів з вшанування пам’яті загиблих (померлих) громадян Кременчуцької міської територіальної громади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</si>
  <si>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</si>
  <si>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</si>
  <si>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</si>
  <si>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</si>
  <si>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</si>
  <si>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</si>
  <si>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Придбання кущорізів (мотокос) для виконання робіт з благоустрою на кладовищах Кременчуцької міської територіальної громади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</si>
  <si>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</si>
  <si>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</si>
  <si>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</si>
  <si>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</si>
  <si>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</si>
  <si>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</si>
  <si>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</si>
  <si>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</si>
  <si>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</si>
  <si>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Проведення інвентарізації місць поховань на кладовищах Потоківського старостинського округу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</si>
  <si>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</si>
  <si>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</si>
  <si>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3) утримання у належному естетичному та санітарному стані 60 одиниць об’єктів історії (могил, надгробків та пам’ятників)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</si>
  <si>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</si>
  <si>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</si>
  <si>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</si>
  <si>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Внески до статутного капіталу на виконання робіт з благоустрою кладовища по вул. Свіштовській  (капітальний ремонт та облаштування майданчиків для збору відходів)</t>
  </si>
  <si>
    <r>
      <t xml:space="preserve">Утримання кладовищ Потоківського старостинського округу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 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
2) утримання у належному естетичному та санітарному стані Пам’ятного знаку жертвам Голодомору 1932-33 рр. на території кладовища в с. Потоки</t>
    </r>
  </si>
  <si>
    <t>Разом фінансове забезпечення утримання  кладовищ міста Кременчука та забезпечення діяльності КП «СКРП»: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</si>
  <si>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снігу, ритуальних та майданчиків для відходів; покіс трави в літній період; очищення урн від відходів; прибирання громадських туалетів;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</si>
</sst>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8"/>
  <sheetViews>
    <sheetView tabSelected="1" view="pageBreakPreview" topLeftCell="A8" zoomScale="85" zoomScaleNormal="100" zoomScaleSheetLayoutView="85" workbookViewId="0">
      <selection activeCell="B14" sqref="B14"/>
    </sheetView>
  </sheetViews>
  <sheetFormatPr defaultRowHeight="15.75" outlineLevelCol="1" x14ac:dyDescent="0.25"/>
  <cols>
    <col min="1" max="1" width="5.7109375" style="2" customWidth="1"/>
    <col min="2" max="2" width="66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9" x14ac:dyDescent="0.25">
      <c r="C1" s="29" t="s">
        <v>28</v>
      </c>
    </row>
    <row r="2" spans="1:9" x14ac:dyDescent="0.25">
      <c r="C2" s="29" t="s">
        <v>44</v>
      </c>
    </row>
    <row r="3" spans="1:9" x14ac:dyDescent="0.25">
      <c r="C3" s="29" t="s">
        <v>52</v>
      </c>
    </row>
    <row r="4" spans="1:9" x14ac:dyDescent="0.25">
      <c r="C4" s="29" t="s">
        <v>69</v>
      </c>
    </row>
    <row r="5" spans="1:9" ht="7.5" customHeight="1" x14ac:dyDescent="0.25">
      <c r="A5" s="5"/>
      <c r="C5" s="4"/>
    </row>
    <row r="6" spans="1:9" ht="20.100000000000001" customHeight="1" x14ac:dyDescent="0.25">
      <c r="A6" s="46" t="s">
        <v>0</v>
      </c>
      <c r="B6" s="46"/>
      <c r="C6" s="46"/>
      <c r="D6" s="46"/>
      <c r="E6" s="46"/>
      <c r="F6" s="46"/>
    </row>
    <row r="7" spans="1:9" ht="20.100000000000001" customHeight="1" x14ac:dyDescent="0.25">
      <c r="A7" s="46" t="s">
        <v>45</v>
      </c>
      <c r="B7" s="46"/>
      <c r="C7" s="46"/>
      <c r="D7" s="46"/>
      <c r="E7" s="46"/>
      <c r="F7" s="46"/>
    </row>
    <row r="8" spans="1:9" ht="20.100000000000001" customHeight="1" x14ac:dyDescent="0.25">
      <c r="A8" s="46" t="s">
        <v>55</v>
      </c>
      <c r="B8" s="46"/>
      <c r="C8" s="46"/>
      <c r="D8" s="46"/>
      <c r="E8" s="46"/>
      <c r="F8" s="46"/>
    </row>
    <row r="9" spans="1:9" ht="9.75" customHeight="1" x14ac:dyDescent="0.25">
      <c r="A9" s="5"/>
      <c r="F9" s="1" t="s">
        <v>30</v>
      </c>
    </row>
    <row r="10" spans="1:9" x14ac:dyDescent="0.25">
      <c r="A10" s="47" t="s">
        <v>1</v>
      </c>
      <c r="B10" s="48" t="s">
        <v>2</v>
      </c>
      <c r="C10" s="49" t="s">
        <v>32</v>
      </c>
      <c r="D10" s="47" t="s">
        <v>31</v>
      </c>
      <c r="E10" s="47"/>
      <c r="F10" s="47"/>
    </row>
    <row r="11" spans="1:9" x14ac:dyDescent="0.25">
      <c r="A11" s="47"/>
      <c r="B11" s="48"/>
      <c r="C11" s="50"/>
      <c r="D11" s="6">
        <v>2025</v>
      </c>
      <c r="E11" s="6">
        <v>2026</v>
      </c>
      <c r="F11" s="6">
        <v>2027</v>
      </c>
    </row>
    <row r="12" spans="1:9" ht="46.5" customHeight="1" x14ac:dyDescent="0.25">
      <c r="A12" s="30" t="s">
        <v>4</v>
      </c>
      <c r="B12" s="33" t="s">
        <v>77</v>
      </c>
      <c r="C12" s="20">
        <f>SUM(C13:C38)</f>
        <v>163757389</v>
      </c>
      <c r="D12" s="20">
        <f>SUM(D13:D38)</f>
        <v>48709836</v>
      </c>
      <c r="E12" s="20">
        <f>SUM(E13:E38)</f>
        <v>70013913</v>
      </c>
      <c r="F12" s="20">
        <f>SUM(F13:F38)</f>
        <v>45033640</v>
      </c>
    </row>
    <row r="13" spans="1:9" ht="173.25" x14ac:dyDescent="0.25">
      <c r="A13" s="40" t="s">
        <v>5</v>
      </c>
      <c r="B13" s="34" t="s">
        <v>78</v>
      </c>
      <c r="C13" s="42">
        <f>SUM(D13:F13)</f>
        <v>63932460</v>
      </c>
      <c r="D13" s="44">
        <v>20143790</v>
      </c>
      <c r="E13" s="44">
        <f>21282330+100000</f>
        <v>21382330</v>
      </c>
      <c r="F13" s="44">
        <f>22296340+110000</f>
        <v>22406340</v>
      </c>
      <c r="G13" s="27">
        <f>D13+D40</f>
        <v>20948153</v>
      </c>
      <c r="H13" s="27">
        <f>E13+E40</f>
        <v>22238160</v>
      </c>
      <c r="I13" s="27">
        <f>F13+F40</f>
        <v>23308013</v>
      </c>
    </row>
    <row r="14" spans="1:9" ht="129.75" customHeight="1" x14ac:dyDescent="0.25">
      <c r="A14" s="41"/>
      <c r="B14" s="22" t="s">
        <v>71</v>
      </c>
      <c r="C14" s="43"/>
      <c r="D14" s="45"/>
      <c r="E14" s="45"/>
      <c r="F14" s="45"/>
    </row>
    <row r="15" spans="1:9" ht="47.25" x14ac:dyDescent="0.25">
      <c r="A15" s="13" t="s">
        <v>6</v>
      </c>
      <c r="B15" s="35" t="s">
        <v>51</v>
      </c>
      <c r="C15" s="14">
        <f t="shared" ref="C15" si="0">SUM(D15:F15)</f>
        <v>118011</v>
      </c>
      <c r="D15" s="16">
        <f>ROUND(28210/650*650*1.097,0)</f>
        <v>30946</v>
      </c>
      <c r="E15" s="16">
        <f>ROUND(D15/650*800*1.099,0)</f>
        <v>41858</v>
      </c>
      <c r="F15" s="16">
        <f>ROUND(E15*1.08,0)</f>
        <v>45207</v>
      </c>
    </row>
    <row r="16" spans="1:9" ht="47.25" x14ac:dyDescent="0.25">
      <c r="A16" s="13" t="s">
        <v>7</v>
      </c>
      <c r="B16" s="35" t="s">
        <v>53</v>
      </c>
      <c r="C16" s="14">
        <f t="shared" ref="C16" si="1">SUM(D16:F16)</f>
        <v>702908</v>
      </c>
      <c r="D16" s="16">
        <f>ROUND(52000/400*1500*1.097,0)</f>
        <v>213915</v>
      </c>
      <c r="E16" s="16">
        <f>ROUND(D16*1.099,0)</f>
        <v>235093</v>
      </c>
      <c r="F16" s="16">
        <f>ROUND(E16*1.08,0)</f>
        <v>253900</v>
      </c>
    </row>
    <row r="17" spans="1:7" ht="47.25" x14ac:dyDescent="0.25">
      <c r="A17" s="13" t="s">
        <v>8</v>
      </c>
      <c r="B17" s="32" t="s">
        <v>54</v>
      </c>
      <c r="C17" s="11">
        <f>SUM(D17:F17)</f>
        <v>687462</v>
      </c>
      <c r="D17" s="12">
        <v>209214</v>
      </c>
      <c r="E17" s="12">
        <v>229927</v>
      </c>
      <c r="F17" s="12">
        <v>248321</v>
      </c>
      <c r="G17" s="27"/>
    </row>
    <row r="18" spans="1:7" ht="31.5" x14ac:dyDescent="0.25">
      <c r="A18" s="10" t="s">
        <v>9</v>
      </c>
      <c r="B18" s="17" t="s">
        <v>42</v>
      </c>
      <c r="C18" s="14">
        <f>SUM(D18:F18)</f>
        <v>311398</v>
      </c>
      <c r="D18" s="15">
        <f>ROUND((70000+20000)*1.097,0)</f>
        <v>98730</v>
      </c>
      <c r="E18" s="15">
        <f>ROUND((70000+20000)*1.097*1.099,0)</f>
        <v>108504</v>
      </c>
      <c r="F18" s="15">
        <f>ROUND((60000+20000)*1.097*1.099*1.08,0)</f>
        <v>104164</v>
      </c>
    </row>
    <row r="19" spans="1:7" ht="47.25" x14ac:dyDescent="0.25">
      <c r="A19" s="13" t="s">
        <v>10</v>
      </c>
      <c r="B19" s="17" t="s">
        <v>43</v>
      </c>
      <c r="C19" s="14">
        <f>SUM(D19:F19)</f>
        <v>216279</v>
      </c>
      <c r="D19" s="15">
        <f>ROUND(197460/3,0)</f>
        <v>65820</v>
      </c>
      <c r="E19" s="15">
        <f>ROUND(D19*1.099,0)</f>
        <v>72336</v>
      </c>
      <c r="F19" s="15">
        <f>ROUND(E19*1.08,0)</f>
        <v>78123</v>
      </c>
    </row>
    <row r="20" spans="1:7" ht="31.5" customHeight="1" x14ac:dyDescent="0.25">
      <c r="A20" s="13" t="s">
        <v>11</v>
      </c>
      <c r="B20" s="18" t="s">
        <v>72</v>
      </c>
      <c r="C20" s="14">
        <f t="shared" ref="C20" si="2">SUM(D20:F20)</f>
        <v>1583593</v>
      </c>
      <c r="D20" s="16"/>
      <c r="E20" s="16">
        <v>846686</v>
      </c>
      <c r="F20" s="16">
        <v>736907</v>
      </c>
    </row>
    <row r="21" spans="1:7" ht="47.25" x14ac:dyDescent="0.25">
      <c r="A21" s="13" t="s">
        <v>12</v>
      </c>
      <c r="B21" s="18" t="s">
        <v>58</v>
      </c>
      <c r="C21" s="14">
        <f t="shared" ref="C21" si="3">SUM(D21:F21)</f>
        <v>457333</v>
      </c>
      <c r="D21" s="16">
        <v>181196</v>
      </c>
      <c r="E21" s="16">
        <f>ROUND(D21/6*4*1.099,0)+2</f>
        <v>132758</v>
      </c>
      <c r="F21" s="16">
        <f>ROUND(E21*1.08,0)</f>
        <v>143379</v>
      </c>
    </row>
    <row r="22" spans="1:7" ht="31.5" x14ac:dyDescent="0.25">
      <c r="A22" s="13" t="s">
        <v>13</v>
      </c>
      <c r="B22" s="36" t="s">
        <v>73</v>
      </c>
      <c r="C22" s="14">
        <f>SUM(D22:F22)</f>
        <v>5481709</v>
      </c>
      <c r="D22" s="16"/>
      <c r="E22" s="16">
        <v>5481709</v>
      </c>
      <c r="F22" s="16"/>
    </row>
    <row r="23" spans="1:7" ht="31.5" x14ac:dyDescent="0.25">
      <c r="A23" s="13" t="s">
        <v>14</v>
      </c>
      <c r="B23" s="36" t="s">
        <v>70</v>
      </c>
      <c r="C23" s="14">
        <f>SUM(D23:F23)</f>
        <v>77640</v>
      </c>
      <c r="D23" s="16"/>
      <c r="E23" s="16">
        <f>ROUND(64399*1.097*1.099,0)</f>
        <v>77640</v>
      </c>
      <c r="F23" s="16"/>
    </row>
    <row r="24" spans="1:7" ht="32.25" customHeight="1" x14ac:dyDescent="0.25">
      <c r="A24" s="13" t="s">
        <v>15</v>
      </c>
      <c r="B24" s="36" t="s">
        <v>56</v>
      </c>
      <c r="C24" s="14">
        <f t="shared" ref="C24:C29" si="4">SUM(D24:F24)</f>
        <v>535143</v>
      </c>
      <c r="D24" s="16"/>
      <c r="E24" s="16"/>
      <c r="F24" s="16">
        <f>ROUND(411000*1.097*1.099*1.08,0)</f>
        <v>535143</v>
      </c>
    </row>
    <row r="25" spans="1:7" ht="47.25" x14ac:dyDescent="0.25">
      <c r="A25" s="13" t="s">
        <v>16</v>
      </c>
      <c r="B25" s="36" t="s">
        <v>74</v>
      </c>
      <c r="C25" s="14">
        <f t="shared" si="4"/>
        <v>9505150</v>
      </c>
      <c r="D25" s="16"/>
      <c r="E25" s="16">
        <v>4528420</v>
      </c>
      <c r="F25" s="16">
        <v>4976730</v>
      </c>
    </row>
    <row r="26" spans="1:7" ht="31.5" x14ac:dyDescent="0.25">
      <c r="A26" s="13" t="s">
        <v>17</v>
      </c>
      <c r="B26" s="36" t="s">
        <v>57</v>
      </c>
      <c r="C26" s="14">
        <f t="shared" si="4"/>
        <v>2535824</v>
      </c>
      <c r="D26" s="16"/>
      <c r="E26" s="16">
        <f>ROUND((1764300+4922+13800+22540+8740+1610+41538+6992+20700+13800+1288+12098+3036+2300+18032+4692+4692+2300+1426+154560)*1.097*1.099,0)</f>
        <v>2535824</v>
      </c>
      <c r="F26" s="16"/>
    </row>
    <row r="27" spans="1:7" ht="63" x14ac:dyDescent="0.25">
      <c r="A27" s="13" t="s">
        <v>18</v>
      </c>
      <c r="B27" s="17" t="s">
        <v>41</v>
      </c>
      <c r="C27" s="14">
        <f t="shared" si="4"/>
        <v>8791340</v>
      </c>
      <c r="D27" s="15">
        <v>3265170</v>
      </c>
      <c r="E27" s="16">
        <f>ROUND(D27*1.099,0)</f>
        <v>3588422</v>
      </c>
      <c r="F27" s="16">
        <f>ROUND(E27/2*1.08,0)</f>
        <v>1937748</v>
      </c>
    </row>
    <row r="28" spans="1:7" ht="47.25" x14ac:dyDescent="0.25">
      <c r="A28" s="13" t="s">
        <v>19</v>
      </c>
      <c r="B28" s="17" t="s">
        <v>39</v>
      </c>
      <c r="C28" s="14">
        <f t="shared" si="4"/>
        <v>1720247</v>
      </c>
      <c r="D28" s="16"/>
      <c r="E28" s="16">
        <v>1720247</v>
      </c>
      <c r="F28" s="16"/>
    </row>
    <row r="29" spans="1:7" ht="47.25" x14ac:dyDescent="0.25">
      <c r="A29" s="13" t="s">
        <v>20</v>
      </c>
      <c r="B29" s="17" t="s">
        <v>75</v>
      </c>
      <c r="C29" s="14">
        <f t="shared" si="4"/>
        <v>1642960</v>
      </c>
      <c r="D29" s="16">
        <v>500000</v>
      </c>
      <c r="E29" s="16">
        <f>D29*1.099</f>
        <v>549500</v>
      </c>
      <c r="F29" s="16">
        <f>E29*1.08</f>
        <v>593460</v>
      </c>
    </row>
    <row r="30" spans="1:7" ht="30" customHeight="1" x14ac:dyDescent="0.25">
      <c r="A30" s="13" t="s">
        <v>21</v>
      </c>
      <c r="B30" s="17" t="s">
        <v>50</v>
      </c>
      <c r="C30" s="14">
        <f t="shared" ref="C30:C38" si="5">SUM(D30:F30)</f>
        <v>205500</v>
      </c>
      <c r="D30" s="15"/>
      <c r="E30" s="15">
        <f>ROUND(186988*1.099,0)</f>
        <v>205500</v>
      </c>
      <c r="F30" s="15"/>
    </row>
    <row r="31" spans="1:7" ht="47.25" x14ac:dyDescent="0.25">
      <c r="A31" s="13" t="s">
        <v>59</v>
      </c>
      <c r="B31" s="17" t="s">
        <v>48</v>
      </c>
      <c r="C31" s="14">
        <f>SUM(D31:F31)</f>
        <v>50378214</v>
      </c>
      <c r="D31" s="16">
        <f>48002110/2</f>
        <v>24001055</v>
      </c>
      <c r="E31" s="16">
        <f>ROUND(48002110/2*1.099,0)</f>
        <v>26377159</v>
      </c>
      <c r="F31" s="16"/>
    </row>
    <row r="32" spans="1:7" ht="47.25" x14ac:dyDescent="0.25">
      <c r="A32" s="13" t="s">
        <v>22</v>
      </c>
      <c r="B32" s="17" t="s">
        <v>33</v>
      </c>
      <c r="C32" s="14">
        <f t="shared" si="5"/>
        <v>85823</v>
      </c>
      <c r="D32" s="15"/>
      <c r="E32" s="15"/>
      <c r="F32" s="15">
        <f>ROUND(62300*1.058*1.097*1.099*1.08,0)</f>
        <v>85823</v>
      </c>
    </row>
    <row r="33" spans="1:6" ht="30.75" customHeight="1" x14ac:dyDescent="0.25">
      <c r="A33" s="13" t="s">
        <v>60</v>
      </c>
      <c r="B33" s="17" t="s">
        <v>34</v>
      </c>
      <c r="C33" s="14">
        <f t="shared" si="5"/>
        <v>8954206</v>
      </c>
      <c r="D33" s="15"/>
      <c r="E33" s="15"/>
      <c r="F33" s="15">
        <f>ROUND(6500000*1.058*1.097*1.099*1.08,0)</f>
        <v>8954206</v>
      </c>
    </row>
    <row r="34" spans="1:6" ht="31.5" x14ac:dyDescent="0.25">
      <c r="A34" s="13" t="s">
        <v>61</v>
      </c>
      <c r="B34" s="17" t="s">
        <v>35</v>
      </c>
      <c r="C34" s="14">
        <f t="shared" si="5"/>
        <v>520446</v>
      </c>
      <c r="D34" s="15"/>
      <c r="E34" s="15"/>
      <c r="F34" s="15">
        <f>ROUND(377800*1.058*1.097*1.099*1.08,0)</f>
        <v>520446</v>
      </c>
    </row>
    <row r="35" spans="1:6" ht="31.5" x14ac:dyDescent="0.25">
      <c r="A35" s="13" t="s">
        <v>62</v>
      </c>
      <c r="B35" s="17" t="s">
        <v>36</v>
      </c>
      <c r="C35" s="14">
        <f t="shared" si="5"/>
        <v>1200000</v>
      </c>
      <c r="D35" s="16"/>
      <c r="E35" s="16">
        <v>400000</v>
      </c>
      <c r="F35" s="16">
        <v>800000</v>
      </c>
    </row>
    <row r="36" spans="1:6" ht="31.5" x14ac:dyDescent="0.25">
      <c r="A36" s="13" t="s">
        <v>63</v>
      </c>
      <c r="B36" s="17" t="s">
        <v>37</v>
      </c>
      <c r="C36" s="14">
        <f t="shared" si="5"/>
        <v>1500000</v>
      </c>
      <c r="D36" s="16"/>
      <c r="E36" s="16">
        <v>1500000</v>
      </c>
      <c r="F36" s="16"/>
    </row>
    <row r="37" spans="1:6" ht="31.5" x14ac:dyDescent="0.25">
      <c r="A37" s="13" t="s">
        <v>64</v>
      </c>
      <c r="B37" s="17" t="s">
        <v>38</v>
      </c>
      <c r="C37" s="14">
        <f t="shared" si="5"/>
        <v>521000</v>
      </c>
      <c r="D37" s="16"/>
      <c r="E37" s="16"/>
      <c r="F37" s="16">
        <v>521000</v>
      </c>
    </row>
    <row r="38" spans="1:6" ht="47.25" x14ac:dyDescent="0.25">
      <c r="A38" s="13" t="s">
        <v>65</v>
      </c>
      <c r="B38" s="17" t="s">
        <v>40</v>
      </c>
      <c r="C38" s="14">
        <f t="shared" si="5"/>
        <v>2092743</v>
      </c>
      <c r="D38" s="16"/>
      <c r="E38" s="16"/>
      <c r="F38" s="16">
        <f>ROUND(501467/312*1000*1.097*1.099*1.08,0)</f>
        <v>2092743</v>
      </c>
    </row>
    <row r="39" spans="1:6" s="9" customFormat="1" ht="31.5" x14ac:dyDescent="0.25">
      <c r="A39" s="6" t="s">
        <v>23</v>
      </c>
      <c r="B39" s="31" t="s">
        <v>49</v>
      </c>
      <c r="C39" s="20">
        <f>SUM(C40:C42)</f>
        <v>2942943</v>
      </c>
      <c r="D39" s="20">
        <f>SUM(D40:D42)</f>
        <v>920336</v>
      </c>
      <c r="E39" s="20">
        <f>SUM(E40:E42)</f>
        <v>983284</v>
      </c>
      <c r="F39" s="20">
        <f>SUM(F40:F42)</f>
        <v>1039323</v>
      </c>
    </row>
    <row r="40" spans="1:6" s="9" customFormat="1" ht="192.75" customHeight="1" x14ac:dyDescent="0.25">
      <c r="A40" s="7" t="s">
        <v>24</v>
      </c>
      <c r="B40" s="21" t="s">
        <v>76</v>
      </c>
      <c r="C40" s="8">
        <f>SUM(D40:F40)</f>
        <v>2561866</v>
      </c>
      <c r="D40" s="8">
        <v>804363</v>
      </c>
      <c r="E40" s="8">
        <v>855830</v>
      </c>
      <c r="F40" s="8">
        <v>901673</v>
      </c>
    </row>
    <row r="41" spans="1:6" ht="31.5" x14ac:dyDescent="0.25">
      <c r="A41" s="10" t="s">
        <v>25</v>
      </c>
      <c r="B41" s="22" t="s">
        <v>42</v>
      </c>
      <c r="C41" s="12">
        <f>SUM(D41:F41)</f>
        <v>144186</v>
      </c>
      <c r="D41" s="15">
        <f>ROUND((20000+20000)*1.097,0)</f>
        <v>43880</v>
      </c>
      <c r="E41" s="15">
        <f>ROUND((20000+20000)*1.097*1.099,0)</f>
        <v>48224</v>
      </c>
      <c r="F41" s="15">
        <f>ROUND((20000+20000)*1.097*1.099*1.08,0)</f>
        <v>52082</v>
      </c>
    </row>
    <row r="42" spans="1:6" ht="47.25" x14ac:dyDescent="0.25">
      <c r="A42" s="7" t="s">
        <v>26</v>
      </c>
      <c r="B42" s="23" t="s">
        <v>43</v>
      </c>
      <c r="C42" s="8">
        <f>SUM(D42:F42)</f>
        <v>236891</v>
      </c>
      <c r="D42" s="15">
        <f>ROUND(216279/3,0)</f>
        <v>72093</v>
      </c>
      <c r="E42" s="15">
        <f>ROUND(D42*1.099,0)</f>
        <v>79230</v>
      </c>
      <c r="F42" s="15">
        <f>ROUND(E42*1.08,0)</f>
        <v>85568</v>
      </c>
    </row>
    <row r="43" spans="1:6" ht="31.5" x14ac:dyDescent="0.25">
      <c r="A43" s="13" t="s">
        <v>67</v>
      </c>
      <c r="B43" s="18" t="s">
        <v>68</v>
      </c>
      <c r="C43" s="14">
        <f t="shared" ref="C43" si="6">SUM(D43:F43)</f>
        <v>131821</v>
      </c>
      <c r="D43" s="16"/>
      <c r="E43" s="16">
        <v>70480</v>
      </c>
      <c r="F43" s="16">
        <v>61341</v>
      </c>
    </row>
    <row r="44" spans="1:6" ht="47.25" x14ac:dyDescent="0.25">
      <c r="A44" s="7" t="s">
        <v>27</v>
      </c>
      <c r="B44" s="19" t="s">
        <v>66</v>
      </c>
      <c r="C44" s="20">
        <f>C39+C12</f>
        <v>166700332</v>
      </c>
      <c r="D44" s="20">
        <f>D39+D12</f>
        <v>49630172</v>
      </c>
      <c r="E44" s="20">
        <f>E39+E12</f>
        <v>70997197</v>
      </c>
      <c r="F44" s="20">
        <f>F39+F12</f>
        <v>46072963</v>
      </c>
    </row>
    <row r="45" spans="1:6" ht="31.5" x14ac:dyDescent="0.25">
      <c r="A45" s="7" t="s">
        <v>29</v>
      </c>
      <c r="B45" s="24" t="s">
        <v>3</v>
      </c>
      <c r="C45" s="25">
        <f>C44</f>
        <v>166700332</v>
      </c>
      <c r="D45" s="25">
        <f t="shared" ref="D45:F45" si="7">D44</f>
        <v>49630172</v>
      </c>
      <c r="E45" s="25">
        <f t="shared" si="7"/>
        <v>70997197</v>
      </c>
      <c r="F45" s="25">
        <f t="shared" si="7"/>
        <v>46072963</v>
      </c>
    </row>
    <row r="46" spans="1:6" x14ac:dyDescent="0.25">
      <c r="A46" s="37"/>
      <c r="B46" s="38"/>
      <c r="C46" s="39"/>
      <c r="D46" s="39"/>
      <c r="E46" s="39"/>
      <c r="F46" s="39"/>
    </row>
    <row r="47" spans="1:6" ht="16.5" customHeight="1" x14ac:dyDescent="0.25">
      <c r="A47" s="26"/>
    </row>
    <row r="48" spans="1:6" x14ac:dyDescent="0.25">
      <c r="A48" s="3" t="s">
        <v>46</v>
      </c>
      <c r="F48" s="28" t="s">
        <v>47</v>
      </c>
    </row>
  </sheetData>
  <mergeCells count="12">
    <mergeCell ref="A6:F6"/>
    <mergeCell ref="A7:F7"/>
    <mergeCell ref="A8:F8"/>
    <mergeCell ref="A10:A11"/>
    <mergeCell ref="B10:B11"/>
    <mergeCell ref="C10:C11"/>
    <mergeCell ref="D10:F10"/>
    <mergeCell ref="A13:A14"/>
    <mergeCell ref="C13:C14"/>
    <mergeCell ref="D13:D14"/>
    <mergeCell ref="E13:E14"/>
    <mergeCell ref="F13:F14"/>
  </mergeCells>
  <pageMargins left="0.78740157480314965" right="0.78740157480314965" top="1.1811023622047245" bottom="0.39370078740157483" header="0.98425196850393704" footer="0"/>
  <pageSetup paperSize="9" scale="95" fitToHeight="6" orientation="landscape" r:id="rId1"/>
  <headerFooter differentFirst="1">
    <oddHeader>&amp;R&amp;"Times New Roman,обычный"&amp;12Продовження додатка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User</cp:lastModifiedBy>
  <cp:lastPrinted>2024-11-26T07:48:03Z</cp:lastPrinted>
  <dcterms:created xsi:type="dcterms:W3CDTF">2021-11-17T11:42:24Z</dcterms:created>
  <dcterms:modified xsi:type="dcterms:W3CDTF">2024-11-26T07:49:00Z</dcterms:modified>
</cp:coreProperties>
</file>