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H:\ВЕтЕ\Міські та регіональні програми\Програма енергозбереження\ПЕЕ на 2025-2027\"/>
    </mc:Choice>
  </mc:AlternateContent>
  <xr:revisionPtr revIDLastSave="0" documentId="13_ncr:1_{827F0BEA-C0E8-4242-942A-5C5CAA21CD32}" xr6:coauthVersionLast="47" xr6:coauthVersionMax="47" xr10:uidLastSave="{00000000-0000-0000-0000-000000000000}"/>
  <bookViews>
    <workbookView xWindow="-120" yWindow="-120" windowWidth="29040" windowHeight="15840" xr2:uid="{81A26E69-D225-49D5-8D5D-E027C16C6E53}"/>
  </bookViews>
  <sheets>
    <sheet name="Заходи на 2025-2027 роки" sheetId="6" r:id="rId1"/>
  </sheets>
  <definedNames>
    <definedName name="_xlnm.Print_Area" localSheetId="0">'Заходи на 2025-2027 роки'!$A$1:$I$119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06" i="6" l="1"/>
  <c r="D75" i="6"/>
  <c r="N76" i="6"/>
  <c r="M76" i="6"/>
  <c r="L76" i="6"/>
  <c r="N91" i="6"/>
  <c r="O91" i="6"/>
  <c r="O92" i="6"/>
  <c r="P92" i="6"/>
  <c r="H112" i="6"/>
  <c r="H114" i="6" s="1"/>
  <c r="F112" i="6"/>
  <c r="F114" i="6" s="1"/>
  <c r="D112" i="6"/>
  <c r="D114" i="6" s="1"/>
  <c r="K16" i="6"/>
  <c r="D45" i="6"/>
  <c r="H59" i="6"/>
  <c r="G59" i="6"/>
  <c r="F59" i="6"/>
  <c r="E59" i="6"/>
  <c r="D59" i="6"/>
  <c r="C59" i="6"/>
  <c r="D57" i="6"/>
  <c r="F55" i="6"/>
  <c r="H55" i="6"/>
  <c r="C54" i="6"/>
  <c r="D54" i="6"/>
  <c r="D55" i="6" s="1"/>
  <c r="F22" i="6"/>
  <c r="E22" i="6"/>
  <c r="H23" i="6"/>
  <c r="G23" i="6"/>
  <c r="H22" i="6"/>
  <c r="G22" i="6"/>
  <c r="D29" i="6"/>
  <c r="C29" i="6"/>
  <c r="H58" i="6"/>
  <c r="G58" i="6"/>
  <c r="F58" i="6"/>
  <c r="E58" i="6"/>
  <c r="D58" i="6"/>
  <c r="C58" i="6"/>
  <c r="H57" i="6"/>
  <c r="G57" i="6"/>
  <c r="F57" i="6"/>
  <c r="E57" i="6"/>
  <c r="C57" i="6"/>
  <c r="H67" i="6"/>
  <c r="H66" i="6"/>
  <c r="F66" i="6"/>
  <c r="D18" i="6"/>
  <c r="E67" i="6"/>
  <c r="F67" i="6" s="1"/>
  <c r="C67" i="6"/>
  <c r="D67" i="6" s="1"/>
  <c r="C66" i="6"/>
  <c r="D66" i="6" s="1"/>
  <c r="F70" i="6"/>
  <c r="E70" i="6"/>
  <c r="D70" i="6"/>
  <c r="C70" i="6"/>
  <c r="G40" i="6"/>
  <c r="F40" i="6"/>
  <c r="F45" i="6" s="1"/>
  <c r="E40" i="6"/>
  <c r="H31" i="6"/>
  <c r="G31" i="6"/>
  <c r="E31" i="6"/>
  <c r="D31" i="6"/>
  <c r="C31" i="6"/>
  <c r="H35" i="6"/>
  <c r="H38" i="6" s="1"/>
  <c r="G35" i="6"/>
  <c r="F35" i="6"/>
  <c r="F38" i="6" s="1"/>
  <c r="E35" i="6"/>
  <c r="D35" i="6"/>
  <c r="D38" i="6" s="1"/>
  <c r="C35" i="6"/>
  <c r="D28" i="6"/>
  <c r="C28" i="6"/>
  <c r="D22" i="6"/>
  <c r="C22" i="6"/>
  <c r="H24" i="6"/>
  <c r="G24" i="6"/>
  <c r="F24" i="6"/>
  <c r="E24" i="6"/>
  <c r="F23" i="6"/>
  <c r="E23" i="6"/>
  <c r="D24" i="6"/>
  <c r="C24" i="6"/>
  <c r="H25" i="6"/>
  <c r="G25" i="6"/>
  <c r="F25" i="6"/>
  <c r="E25" i="6"/>
  <c r="D25" i="6"/>
  <c r="D23" i="6"/>
  <c r="C23" i="6"/>
  <c r="H26" i="6"/>
  <c r="G26" i="6"/>
  <c r="F26" i="6"/>
  <c r="E26" i="6"/>
  <c r="D26" i="6"/>
  <c r="C26" i="6"/>
  <c r="G21" i="6"/>
  <c r="H21" i="6"/>
  <c r="H28" i="6"/>
  <c r="G28" i="6"/>
  <c r="F28" i="6"/>
  <c r="E28" i="6"/>
  <c r="H29" i="6"/>
  <c r="G29" i="6"/>
  <c r="F29" i="6"/>
  <c r="E29" i="6"/>
  <c r="F18" i="6"/>
  <c r="H18" i="6"/>
  <c r="H45" i="6"/>
  <c r="O93" i="6" l="1"/>
  <c r="O94" i="6" s="1"/>
  <c r="H124" i="6"/>
  <c r="F124" i="6"/>
  <c r="D124" i="6"/>
  <c r="H76" i="6"/>
  <c r="D76" i="6"/>
  <c r="F76" i="6"/>
  <c r="F63" i="6"/>
  <c r="D63" i="6"/>
  <c r="H63" i="6"/>
  <c r="H33" i="6"/>
  <c r="D33" i="6"/>
  <c r="F33" i="6"/>
  <c r="I45" i="6"/>
  <c r="I114" i="6"/>
  <c r="I38" i="6"/>
  <c r="I55" i="6"/>
  <c r="I18" i="6"/>
  <c r="C124" i="6" l="1"/>
  <c r="I124" i="6"/>
  <c r="F115" i="6"/>
  <c r="F125" i="6" s="1"/>
  <c r="F126" i="6" s="1"/>
  <c r="D115" i="6"/>
  <c r="D125" i="6" s="1"/>
  <c r="H115" i="6"/>
  <c r="H125" i="6" s="1"/>
  <c r="H126" i="6" s="1"/>
  <c r="I63" i="6"/>
  <c r="I76" i="6"/>
  <c r="I33" i="6"/>
  <c r="C125" i="6" l="1"/>
  <c r="I125" i="6"/>
  <c r="D126" i="6"/>
  <c r="I115" i="6"/>
  <c r="I126" i="6" l="1"/>
  <c r="C126" i="6"/>
</calcChain>
</file>

<file path=xl/sharedStrings.xml><?xml version="1.0" encoding="utf-8"?>
<sst xmlns="http://schemas.openxmlformats.org/spreadsheetml/2006/main" count="419" uniqueCount="160">
  <si>
    <t>Джерела фінансування                     (1-місцевий бюджет; 2-власні кошти; 3-кредити, гранти, позики, тощо)</t>
  </si>
  <si>
    <t>-</t>
  </si>
  <si>
    <t>Всього:</t>
  </si>
  <si>
    <t>Департамент освіти</t>
  </si>
  <si>
    <t xml:space="preserve">Департамент охорони здоров'я  </t>
  </si>
  <si>
    <t>Управління культури і туризму</t>
  </si>
  <si>
    <t xml:space="preserve">Департамент соціального захисту населення </t>
  </si>
  <si>
    <t xml:space="preserve">Департамент у справах сімей та дітей </t>
  </si>
  <si>
    <t>Всього на 3 роки:</t>
  </si>
  <si>
    <t>Найменування заходу</t>
  </si>
  <si>
    <t>ЗДО №24, ЗЗСО №3</t>
  </si>
  <si>
    <t>ЗДО №10</t>
  </si>
  <si>
    <t>ЗДО №48, ЗДО №73, ЗДО №82, Початкова школа  №15</t>
  </si>
  <si>
    <t>ЗДО №60</t>
  </si>
  <si>
    <t>ЗЗСО №30</t>
  </si>
  <si>
    <t>КНМП "Лікарня інтенсивного лікування "Кременчуцька"</t>
  </si>
  <si>
    <t>Територіальний центр соціального обслуговування (надання соціальних послуг) Крюківського району</t>
  </si>
  <si>
    <t>КЗПО КЮМ "Гардемарин"</t>
  </si>
  <si>
    <t>Муніципальні будівлі</t>
  </si>
  <si>
    <t>КП "Міськсвітло"</t>
  </si>
  <si>
    <t>КП "КПС ШРБУ"</t>
  </si>
  <si>
    <t>КП "Благоустрій Кременчука"</t>
  </si>
  <si>
    <t>КП "КТУ імені Л.Я.Левітана"</t>
  </si>
  <si>
    <t>КП "Муніципальна варта"</t>
  </si>
  <si>
    <t>к-сть</t>
  </si>
  <si>
    <t>Заміна (ремонт) покрівлі з утепленням, м²</t>
  </si>
  <si>
    <t>Утеплення зовнішніх стін, м²</t>
  </si>
  <si>
    <t>Встановлення автономної модульної теплогенераторної, шт.</t>
  </si>
  <si>
    <t>Встановлення приладу обліку теплової енергії, шт.</t>
  </si>
  <si>
    <t>Встановлення індивідуального теплового пункту з погодним регулюванням, шт.</t>
  </si>
  <si>
    <t>Встановлення лічильників холодної води, шт.</t>
  </si>
  <si>
    <t>Заміна дерев’яних вікон на металопластикові, шт.</t>
  </si>
  <si>
    <t>Заміна дерев’яних дверей на утеплені, шт.</t>
  </si>
  <si>
    <t>Заміна  світильників на світлодіодні, шт.</t>
  </si>
  <si>
    <t>Встановлення автоматичних доводчиків на вхідні двері, шт.</t>
  </si>
  <si>
    <t>Заміна бойлера на сонячний колектор, шт.</t>
  </si>
  <si>
    <t>Встановлення світлодіодних світильників, шт.</t>
  </si>
  <si>
    <t>Заміна лампових світлофорів на світлодіодні, шт.</t>
  </si>
  <si>
    <t>Департамент "Центр надання адміністративних послуг"</t>
  </si>
  <si>
    <t>Заміна дерев’яних дверей на утеплені, м²</t>
  </si>
  <si>
    <t>Виконавчий комітет</t>
  </si>
  <si>
    <t>Комунальні підприємства</t>
  </si>
  <si>
    <t>Енергоменеджмент та енергомоніторинг</t>
  </si>
  <si>
    <t xml:space="preserve">Проведення моніторингу споживання енергоносіїв та контролю за ефективністю їх використання в бюджетній сфері </t>
  </si>
  <si>
    <t>Відділ енергоменеджменту та енергетики</t>
  </si>
  <si>
    <t>Стимулювання та популяризація впровадження енергоефективних заходів населенням та ОСББ</t>
  </si>
  <si>
    <t>Відділ енергоменеджменту та енергетики, Департамент ЖКГ</t>
  </si>
  <si>
    <t>ДУ «Фонд енергоефективності»</t>
  </si>
  <si>
    <t>Місце впровадження або виконавці</t>
  </si>
  <si>
    <t>тис.грн</t>
  </si>
  <si>
    <t>Утеплення трубопроводів системи опалення, п/м</t>
  </si>
  <si>
    <r>
      <t>Утеплення зовнішніх стін, м</t>
    </r>
    <r>
      <rPr>
        <sz val="10"/>
        <color theme="1"/>
        <rFont val="Calibri"/>
        <family val="2"/>
        <charset val="204"/>
      </rPr>
      <t>²</t>
    </r>
  </si>
  <si>
    <r>
      <t>Заміна дерев’яних вікон на металопластикові , м</t>
    </r>
    <r>
      <rPr>
        <sz val="10"/>
        <color theme="1"/>
        <rFont val="Calibri"/>
        <family val="2"/>
        <charset val="204"/>
      </rPr>
      <t>²</t>
    </r>
  </si>
  <si>
    <t>Автозаводська районна адміністрація</t>
  </si>
  <si>
    <t>2025 рік</t>
  </si>
  <si>
    <t>2026 рік</t>
  </si>
  <si>
    <t>2027 рік</t>
  </si>
  <si>
    <t>Надання послуг з сертифікації енергетичної ефективності будівель з виготовленням енергетичного сертифікату</t>
  </si>
  <si>
    <t>КНМП "ЦПМСД №2"</t>
  </si>
  <si>
    <t>Встановлення сонячної електростанції , кВт</t>
  </si>
  <si>
    <t xml:space="preserve"> КНМП "Лікарня інтенсивного лікування "Кременчуцька""</t>
  </si>
  <si>
    <t>КНМП "ЦПМСД №2", КНМП "ЦПМСД №1"</t>
  </si>
  <si>
    <t xml:space="preserve"> КНМП "Лікарня інтенсивного лікування "Кременчуцька"", КНМП "Кременчуцька перша міська лікарня ім. О.Т.Богаєвського" </t>
  </si>
  <si>
    <t>Встановлення термостатичних регуляторів на радіатори системи опалення, шт.</t>
  </si>
  <si>
    <t>Заміна радіаторів системи опалення з більш високим ККД, шт.</t>
  </si>
  <si>
    <t xml:space="preserve"> КНМП "Кременчуцька міська лікарня  "Правобережна", КНМП "ЦПМСД №2", КНМП "Лікарня інтенсивного лікування "Кременчуцька"", КНМП "Кременчуцька перша міська лікарня ім. О.Т.Богаєвського", КНМП  "Кременчуцька міська лікарня планового лікування",  КНМП "ЦПМСД №3"</t>
  </si>
  <si>
    <t xml:space="preserve"> КНМП "Кременчуцька міська лікарня  "Правобережна", КНМП "Лікарня інтенсивного лікування "Кременчуцька"",  КНМП "ЦПМСД №3"</t>
  </si>
  <si>
    <t>Управління соціального захисту населення Автозаводського району, Кременчуцький міський Центр комплексної реабілітації дітей з інвалідністю</t>
  </si>
  <si>
    <t>Управління соціального захисту населення Автозаводського району</t>
  </si>
  <si>
    <t>Капітальний ремонт покрівлі</t>
  </si>
  <si>
    <t>Термомодернізація будівлі з заміною покрівлі даху та встановленням блискавковідводу</t>
  </si>
  <si>
    <t xml:space="preserve"> КНМП  "Кременчуцька міська лікарня планового лікування"</t>
  </si>
  <si>
    <t>Заміна централізованого гарячого водопостачання на автономне забезпечення гарячою водою електронагрівачами із заміною сантехнічного обладнання</t>
  </si>
  <si>
    <r>
      <t>Заміна дерев’яних вікон на металопластикові, м</t>
    </r>
    <r>
      <rPr>
        <sz val="10"/>
        <color theme="1"/>
        <rFont val="Calibri"/>
        <family val="2"/>
        <charset val="204"/>
      </rPr>
      <t>²</t>
    </r>
  </si>
  <si>
    <t xml:space="preserve">ЗДО №29, ЗДО №48, ЗДО №82, ЗЗСО №3, ЗЗСО №6, ЗЗСО №7, ЗЗСО №13, ЗЗСО №24, ЗЗСО №33, Академія майбутьного, ШРЦ №1 </t>
  </si>
  <si>
    <t>Встановлення теплової завіси в тамбурі головного входу з підключенням до електромережі, шт.</t>
  </si>
  <si>
    <t>Центр соціально-психологічної реабілітації дітей</t>
  </si>
  <si>
    <t>ОДЮК</t>
  </si>
  <si>
    <t xml:space="preserve"> ОДЮК</t>
  </si>
  <si>
    <t>Заміна та утеплення трубопроводів системи опалення, п/м</t>
  </si>
  <si>
    <t>Архівний відділ</t>
  </si>
  <si>
    <t>Департамент державної реєстрації</t>
  </si>
  <si>
    <t xml:space="preserve">Департамент з питань  цивільного захисту та оборонної роботи </t>
  </si>
  <si>
    <t>Заміна ламп  на світлодіодні панелі, шт.</t>
  </si>
  <si>
    <t>Заміна вітражних вікон в секціях, шт.</t>
  </si>
  <si>
    <t>Утеплення фасадними термопанелями, м²</t>
  </si>
  <si>
    <t>КЗК "Кременчуцька міська художня галерея</t>
  </si>
  <si>
    <t>Встановлення тепловідбивних екранів за радіаторами, шт.</t>
  </si>
  <si>
    <t>Встановлення зовнішнього освітлення з викорстанням сонячних панелей, шт.</t>
  </si>
  <si>
    <t>Улаштування тамбуру в коридорі приміщення (встановлення перестінку та металевої двері)</t>
  </si>
  <si>
    <t>Департамент молоді та спорту</t>
  </si>
  <si>
    <t>Встановлення доводчиків на двері, шт.</t>
  </si>
  <si>
    <t>Утеплення зовнішніх стін будівлі, м²</t>
  </si>
  <si>
    <t>Капітальний ремонт (заміна насосного обладнання з запірною арматурою К 290/30 та НГ 125-8-315/4) насосної при пісколовках Лівобережних КОС</t>
  </si>
  <si>
    <t>Проведення сертифікації енергетичної ефективності та енергетичного аудиту адміністративно-виробничої будівлі Правобережних КОС</t>
  </si>
  <si>
    <t>Проведення сертифікації енергетичної ефективності та енергетичного аудиту адміністративної будівлі 
І-го майданчика</t>
  </si>
  <si>
    <t>Розроблення проектної документації та впровадження альтернативних джерел енергії шляхом встановлення (нове будівництво) дахової сонячної електростанції на об’єкті критичної інфраструктури Правобережних очисних споруд каналізації (КОС)</t>
  </si>
  <si>
    <t>Розроблення проектної документації та впровадження альтернативних джерел енергії шляхом встановлення (нове будівництво) дахової сонячної електростанції на об’єкті критичної інфраструктури СП-17</t>
  </si>
  <si>
    <t xml:space="preserve">КНМП "Кременчуцький перинатальний центр II рівня"  </t>
  </si>
  <si>
    <t xml:space="preserve"> КНМП "Лікарня інтенсивного лікування "Кременчуцька"",  КНМП "ЦПМСД №3", КНМП "Кременчуцький перинатальний центр II рівня" </t>
  </si>
  <si>
    <t>Термомодернізація (капітальний ремонт) фасаду юудівлі</t>
  </si>
  <si>
    <t>КЗК " Кременчуцький міський Палац культури"</t>
  </si>
  <si>
    <t>Заміна зовнішнього вікна живописного вітража фойє, шт.</t>
  </si>
  <si>
    <r>
      <t>Капітальний ремонт покрівлі, м</t>
    </r>
    <r>
      <rPr>
        <sz val="10"/>
        <color theme="1"/>
        <rFont val="Calibri"/>
        <family val="2"/>
        <charset val="204"/>
      </rPr>
      <t>²</t>
    </r>
  </si>
  <si>
    <t>Заміна скляного фасаду, м²</t>
  </si>
  <si>
    <t>КДМШ №2</t>
  </si>
  <si>
    <t>КЗК "Кременчуцька міська публічна бібліотека"</t>
  </si>
  <si>
    <t>КЗК "Кременчуцька міська художня галерея"</t>
  </si>
  <si>
    <t>КМ КДЮСШ №1</t>
  </si>
  <si>
    <t>КМ СДЮШОР</t>
  </si>
  <si>
    <t>Встановлення тепловідбивних екранів за радіаторами, м²</t>
  </si>
  <si>
    <t>КМ КДЮСШ №1, КМ ДЮСШ ім. В. Киселльова, КМ СДЮШОР</t>
  </si>
  <si>
    <t>Комплексне утеплення зовнішніх стін, м²</t>
  </si>
  <si>
    <t>Встановлення лічильників електричної енергії на об'єкти насосних станцій, шт</t>
  </si>
  <si>
    <t>Заміна насосних агрегатів на енергоефективні, шт.</t>
  </si>
  <si>
    <t>Монтаж/відновлення системи вентиляції, од.</t>
  </si>
  <si>
    <t xml:space="preserve">Технічне переоснащення обладнання насоссних станції, од. </t>
  </si>
  <si>
    <t>Модернізація вуличного освітлення, шт.</t>
  </si>
  <si>
    <t>Заміна існуючих кондиціонерів на інверторні, шт.</t>
  </si>
  <si>
    <t>Заміна радіаторів сситеми опалення, шт.</t>
  </si>
  <si>
    <t>КП "Теплоенерго"</t>
  </si>
  <si>
    <t>Розробка проєктно-кошторисної документації на реконструкцію дахової котельні САО кварталу 101 (з експертизою кошторисної частини)</t>
  </si>
  <si>
    <t>Розробка проєктно-кошторисної документації на реконструкцію дахової котельні САО за адресою вул. Європейська, 68-А (з експертизою кошторисної частини)</t>
  </si>
  <si>
    <t>Реконструкція теплової мережі кварталу 620 по приєднанню будівлі Крюківської районної адміністрації від ТК-14 за вдресою вул. Івана Приходька, 90</t>
  </si>
  <si>
    <t>Реконструкція котельні УЗС, що знаходиться за адресою вул. Горліс-Горського, 3-Б</t>
  </si>
  <si>
    <t>КП "Кременчук АКВА-СЕРВІС"</t>
  </si>
  <si>
    <t>Проєктування та встановлення гібридної сонячної електростанції, кВт</t>
  </si>
  <si>
    <t>КП "КОМФОРТНИЙ ДІМ"</t>
  </si>
  <si>
    <t>Капітальний ремон покрівлі у приміщені, м²</t>
  </si>
  <si>
    <t>Утеплення зовнішніх стін, стелі,заміна дверей, м²</t>
  </si>
  <si>
    <t>Заміна на тягових підстанціях застарілих масляних вимикачів на вакуумні , шт.</t>
  </si>
  <si>
    <t>КП "Кременчукводоканал"</t>
  </si>
  <si>
    <t>бюджет</t>
  </si>
  <si>
    <t>Вартість проєкту</t>
  </si>
  <si>
    <t>НЕФКО</t>
  </si>
  <si>
    <t>використано</t>
  </si>
  <si>
    <t>курс євро</t>
  </si>
  <si>
    <t/>
  </si>
  <si>
    <t>Встановлення  сонячної електростанції, кВт</t>
  </si>
  <si>
    <t xml:space="preserve">Додаток до Програми 
енергозбереження та енергоефективності 
Кременчуцької міської територіальної
громади на 2025-2027 роки
</t>
  </si>
  <si>
    <t>План заходів Програми енергозбереження та енергоефективності  Кременчуцької міської територіальної громади на 2025-2027 роки</t>
  </si>
  <si>
    <t>Антон ПОТАПОВ</t>
  </si>
  <si>
    <t>Начальник відділу енергоменеджменту та енергетики</t>
  </si>
  <si>
    <t xml:space="preserve">виконавчого комітету Кременчуцької міської ради </t>
  </si>
  <si>
    <t>Кременчуцького району Полтавської області</t>
  </si>
  <si>
    <t>У тому числі за роками</t>
  </si>
  <si>
    <t>Бюджет Кременчуцької міської територіальної громади</t>
  </si>
  <si>
    <t>Власні кошти підприємств та інші джерела</t>
  </si>
  <si>
    <t>Всього</t>
  </si>
  <si>
    <t>Джерела  фінансування</t>
  </si>
  <si>
    <t>Обсяг фінансування, тис.грн</t>
  </si>
  <si>
    <t>Фінансування не потребує
(у рамках фонду оплати праці)</t>
  </si>
  <si>
    <t>Забезпечення роботи муніципальної системи енергетичного менеджменту</t>
  </si>
  <si>
    <t>Заміна зношеного контактного дроту, км</t>
  </si>
  <si>
    <t>Повне виконання заходів згідно проведеної сертифікації енергетичної ефективності та енергетичного аудиту адміністративно-виробничої будівлі
 Правобережних КОС</t>
  </si>
  <si>
    <t>Часткове виконання заходів 
згідно проведеної сертифікації енергетичної ефективності та енергетичного аудиту адміністративної будівлі
І-го майданчика</t>
  </si>
  <si>
    <t>Повне виконання заходів згідно проведеної сертифікації енергетичної ефективності та енергетичного аудиту адміністративно-виробничої будівлі
 Лівобережних КОС</t>
  </si>
  <si>
    <t>КП "КМЕК"</t>
  </si>
  <si>
    <t>Реалізація проєкту "Підвищення енергоефективності громадських будівель у м.Кременчук»</t>
  </si>
  <si>
    <t>Обсяг фінансування проєкту передбачено комплексною Програмою розвитку комунального підприємства «Кременчуцька Муніципальна Енергосервісна Компанія» Кременчуцької міської ради Кременчуцького району Полтавської області на 2025 - 2027 роки, яка була завтреджена на засіданні сесії  Кременчуцької міської ради Кременчуцького району Полтавської області від 15 листопада 2024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</si>
</sst>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Arial"/>
      <family val="2"/>
    </font>
    <font>
      <sz val="10"/>
      <color rgb="FF000000"/>
      <name val="Times New Roman"/>
      <family val="1"/>
      <charset val="204"/>
    </font>
    <font>
      <sz val="10"/>
      <color theme="1"/>
      <name val="Calibri"/>
      <family val="2"/>
      <charset val="204"/>
    </font>
    <font>
      <sz val="8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theme="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59">
    <xf numFmtId="0" fontId="0" fillId="0" borderId="0" xfId="0"/>
    <xf numFmtId="0" fontId="1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center" wrapText="1"/>
    </xf>
    <xf numFmtId="2" fontId="2" fillId="2" borderId="4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2" fontId="1" fillId="2" borderId="4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2" fontId="2" fillId="0" borderId="0" xfId="0" applyNumberFormat="1" applyFont="1" applyAlignment="1">
      <alignment horizontal="center" vertical="center" wrapText="1"/>
    </xf>
    <xf numFmtId="0" fontId="0" fillId="0" borderId="0" xfId="0" quotePrefix="1"/>
    <xf numFmtId="0" fontId="0" fillId="2" borderId="0" xfId="0" applyFill="1"/>
    <xf numFmtId="0" fontId="1" fillId="2" borderId="4" xfId="0" applyFont="1" applyFill="1" applyBorder="1" applyAlignment="1">
      <alignment horizontal="center" vertical="center" wrapText="1"/>
    </xf>
    <xf numFmtId="2" fontId="7" fillId="2" borderId="4" xfId="0" applyNumberFormat="1" applyFont="1" applyFill="1" applyBorder="1" applyAlignment="1">
      <alignment horizontal="center" vertical="center" wrapText="1"/>
    </xf>
    <xf numFmtId="1" fontId="1" fillId="2" borderId="4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10" fillId="0" borderId="0" xfId="0" applyFont="1"/>
    <xf numFmtId="0" fontId="11" fillId="0" borderId="0" xfId="0" applyFont="1" applyAlignment="1">
      <alignment vertical="center"/>
    </xf>
    <xf numFmtId="0" fontId="9" fillId="0" borderId="0" xfId="0" applyFont="1"/>
    <xf numFmtId="0" fontId="12" fillId="0" borderId="0" xfId="0" applyFont="1" applyAlignment="1">
      <alignment horizontal="justify" vertical="center"/>
    </xf>
    <xf numFmtId="0" fontId="11" fillId="0" borderId="4" xfId="0" applyFont="1" applyBorder="1" applyAlignment="1">
      <alignment vertical="center" wrapText="1"/>
    </xf>
    <xf numFmtId="0" fontId="9" fillId="0" borderId="4" xfId="0" applyFont="1" applyBorder="1"/>
    <xf numFmtId="0" fontId="9" fillId="0" borderId="4" xfId="0" applyFont="1" applyBorder="1" applyAlignment="1">
      <alignment vertical="center" wrapText="1"/>
    </xf>
    <xf numFmtId="0" fontId="11" fillId="0" borderId="4" xfId="0" applyFont="1" applyBorder="1" applyAlignment="1">
      <alignment horizontal="center"/>
    </xf>
    <xf numFmtId="2" fontId="9" fillId="0" borderId="4" xfId="0" applyNumberFormat="1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2" fontId="1" fillId="0" borderId="4" xfId="0" applyNumberFormat="1" applyFont="1" applyBorder="1" applyAlignment="1">
      <alignment horizontal="center" vertical="center" wrapText="1"/>
    </xf>
    <xf numFmtId="0" fontId="6" fillId="2" borderId="4" xfId="0" applyFont="1" applyFill="1" applyBorder="1" applyAlignment="1">
      <alignment vertical="center" wrapText="1"/>
    </xf>
    <xf numFmtId="0" fontId="13" fillId="2" borderId="0" xfId="0" applyFont="1" applyFill="1"/>
    <xf numFmtId="2" fontId="13" fillId="2" borderId="0" xfId="0" applyNumberFormat="1" applyFont="1" applyFill="1"/>
    <xf numFmtId="0" fontId="13" fillId="0" borderId="0" xfId="0" applyFont="1"/>
    <xf numFmtId="2" fontId="13" fillId="0" borderId="0" xfId="0" applyNumberFormat="1" applyFont="1"/>
    <xf numFmtId="2" fontId="2" fillId="2" borderId="5" xfId="0" applyNumberFormat="1" applyFont="1" applyFill="1" applyBorder="1" applyAlignment="1">
      <alignment horizontal="center" vertical="center" wrapText="1"/>
    </xf>
    <xf numFmtId="2" fontId="2" fillId="2" borderId="7" xfId="0" applyNumberFormat="1" applyFont="1" applyFill="1" applyBorder="1" applyAlignment="1">
      <alignment horizontal="center" vertical="center" wrapText="1"/>
    </xf>
    <xf numFmtId="2" fontId="2" fillId="2" borderId="6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2" fontId="11" fillId="0" borderId="2" xfId="0" applyNumberFormat="1" applyFont="1" applyBorder="1" applyAlignment="1">
      <alignment horizontal="center" vertical="center" wrapText="1"/>
    </xf>
    <xf numFmtId="2" fontId="11" fillId="0" borderId="1" xfId="0" applyNumberFormat="1" applyFon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wrapText="1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</cellXfs>
  <cellStyles count="2">
    <cellStyle name="Звичайний" xfId="0" builtinId="0"/>
    <cellStyle name="Звичайний 2" xfId="1" xr:uid="{CC34DDEC-6B43-4789-92FF-FCABF3AFC61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178879-4ABC-4B33-B13B-C0F27152029D}">
  <dimension ref="A1:P131"/>
  <sheetViews>
    <sheetView tabSelected="1" topLeftCell="A107" zoomScale="120" zoomScaleNormal="120" workbookViewId="0">
      <selection activeCell="L113" sqref="L113"/>
    </sheetView>
  </sheetViews>
  <sheetFormatPr defaultColWidth="8.85546875" defaultRowHeight="15" x14ac:dyDescent="0.25"/>
  <cols>
    <col min="1" max="1" width="39.42578125" customWidth="1"/>
    <col min="2" max="2" width="31" customWidth="1"/>
    <col min="3" max="3" width="10.42578125" customWidth="1"/>
    <col min="4" max="4" width="13.7109375" customWidth="1"/>
    <col min="5" max="5" width="9.42578125" customWidth="1"/>
    <col min="6" max="6" width="13.140625" customWidth="1"/>
    <col min="8" max="8" width="12.28515625" customWidth="1"/>
    <col min="9" max="9" width="25.42578125" customWidth="1"/>
    <col min="15" max="15" width="12" bestFit="1" customWidth="1"/>
  </cols>
  <sheetData>
    <row r="1" spans="1:11" ht="75.75" customHeight="1" x14ac:dyDescent="0.25">
      <c r="H1" s="51" t="s">
        <v>139</v>
      </c>
      <c r="I1" s="51"/>
    </row>
    <row r="2" spans="1:11" ht="7.5" customHeight="1" x14ac:dyDescent="0.25">
      <c r="H2" s="17"/>
      <c r="I2" s="17"/>
    </row>
    <row r="3" spans="1:11" s="17" customFormat="1" ht="15.75" x14ac:dyDescent="0.25">
      <c r="A3" s="52" t="s">
        <v>140</v>
      </c>
      <c r="B3" s="52"/>
      <c r="C3" s="52"/>
      <c r="D3" s="52"/>
      <c r="E3" s="52"/>
      <c r="F3" s="52"/>
      <c r="G3" s="52"/>
      <c r="H3" s="52"/>
      <c r="I3" s="52"/>
    </row>
    <row r="5" spans="1:11" ht="39" customHeight="1" x14ac:dyDescent="0.25">
      <c r="A5" s="39" t="s">
        <v>9</v>
      </c>
      <c r="B5" s="39" t="s">
        <v>48</v>
      </c>
      <c r="C5" s="39" t="s">
        <v>54</v>
      </c>
      <c r="D5" s="39"/>
      <c r="E5" s="39" t="s">
        <v>55</v>
      </c>
      <c r="F5" s="39"/>
      <c r="G5" s="39" t="s">
        <v>56</v>
      </c>
      <c r="H5" s="39"/>
      <c r="I5" s="39" t="s">
        <v>0</v>
      </c>
    </row>
    <row r="6" spans="1:11" x14ac:dyDescent="0.25">
      <c r="A6" s="39"/>
      <c r="B6" s="39"/>
      <c r="C6" s="2" t="s">
        <v>24</v>
      </c>
      <c r="D6" s="2" t="s">
        <v>49</v>
      </c>
      <c r="E6" s="2" t="s">
        <v>24</v>
      </c>
      <c r="F6" s="2" t="s">
        <v>49</v>
      </c>
      <c r="G6" s="2" t="s">
        <v>24</v>
      </c>
      <c r="H6" s="2" t="s">
        <v>49</v>
      </c>
      <c r="I6" s="39"/>
    </row>
    <row r="7" spans="1:11" x14ac:dyDescent="0.25">
      <c r="A7" s="39" t="s">
        <v>42</v>
      </c>
      <c r="B7" s="39"/>
      <c r="C7" s="39"/>
      <c r="D7" s="39"/>
      <c r="E7" s="39"/>
      <c r="F7" s="39"/>
      <c r="G7" s="39"/>
      <c r="H7" s="39"/>
      <c r="I7" s="39"/>
    </row>
    <row r="8" spans="1:11" ht="38.25" x14ac:dyDescent="0.25">
      <c r="A8" s="1" t="s">
        <v>43</v>
      </c>
      <c r="B8" s="1" t="s">
        <v>44</v>
      </c>
      <c r="C8" s="1" t="s">
        <v>1</v>
      </c>
      <c r="D8" s="1" t="s">
        <v>1</v>
      </c>
      <c r="E8" s="1" t="s">
        <v>1</v>
      </c>
      <c r="F8" s="1" t="s">
        <v>1</v>
      </c>
      <c r="G8" s="1" t="s">
        <v>1</v>
      </c>
      <c r="H8" s="1" t="s">
        <v>1</v>
      </c>
      <c r="I8" s="1" t="s">
        <v>151</v>
      </c>
    </row>
    <row r="9" spans="1:11" ht="38.25" x14ac:dyDescent="0.25">
      <c r="A9" s="1" t="s">
        <v>152</v>
      </c>
      <c r="B9" s="1" t="s">
        <v>44</v>
      </c>
      <c r="C9" s="1" t="s">
        <v>1</v>
      </c>
      <c r="D9" s="1" t="s">
        <v>1</v>
      </c>
      <c r="E9" s="1" t="s">
        <v>1</v>
      </c>
      <c r="F9" s="1" t="s">
        <v>1</v>
      </c>
      <c r="G9" s="1" t="s">
        <v>1</v>
      </c>
      <c r="H9" s="1" t="s">
        <v>1</v>
      </c>
      <c r="I9" s="1" t="s">
        <v>151</v>
      </c>
    </row>
    <row r="10" spans="1:11" ht="38.25" x14ac:dyDescent="0.25">
      <c r="A10" s="1" t="s">
        <v>45</v>
      </c>
      <c r="B10" s="1" t="s">
        <v>46</v>
      </c>
      <c r="C10" s="1" t="s">
        <v>1</v>
      </c>
      <c r="D10" s="1" t="s">
        <v>1</v>
      </c>
      <c r="E10" s="1" t="s">
        <v>1</v>
      </c>
      <c r="F10" s="1" t="s">
        <v>1</v>
      </c>
      <c r="G10" s="1" t="s">
        <v>1</v>
      </c>
      <c r="H10" s="1" t="s">
        <v>1</v>
      </c>
      <c r="I10" s="1" t="s">
        <v>47</v>
      </c>
    </row>
    <row r="11" spans="1:11" s="10" customFormat="1" x14ac:dyDescent="0.25">
      <c r="A11" s="38" t="s">
        <v>3</v>
      </c>
      <c r="B11" s="38"/>
      <c r="C11" s="38"/>
      <c r="D11" s="38"/>
      <c r="E11" s="38"/>
      <c r="F11" s="38"/>
      <c r="G11" s="38"/>
      <c r="H11" s="38"/>
      <c r="I11" s="38"/>
    </row>
    <row r="12" spans="1:11" ht="25.5" x14ac:dyDescent="0.25">
      <c r="A12" s="11" t="s">
        <v>27</v>
      </c>
      <c r="B12" s="11" t="s">
        <v>10</v>
      </c>
      <c r="C12" s="11" t="s">
        <v>1</v>
      </c>
      <c r="D12" s="6" t="s">
        <v>1</v>
      </c>
      <c r="E12" s="11">
        <v>1</v>
      </c>
      <c r="F12" s="6">
        <v>2800</v>
      </c>
      <c r="G12" s="11">
        <v>1</v>
      </c>
      <c r="H12" s="6">
        <v>2800</v>
      </c>
      <c r="I12" s="11">
        <v>1</v>
      </c>
      <c r="J12" s="10"/>
    </row>
    <row r="13" spans="1:11" s="10" customFormat="1" ht="25.5" x14ac:dyDescent="0.25">
      <c r="A13" s="11" t="s">
        <v>28</v>
      </c>
      <c r="B13" s="11" t="s">
        <v>11</v>
      </c>
      <c r="C13" s="11" t="s">
        <v>1</v>
      </c>
      <c r="D13" s="6" t="s">
        <v>1</v>
      </c>
      <c r="E13" s="11">
        <v>1</v>
      </c>
      <c r="F13" s="6">
        <v>95</v>
      </c>
      <c r="G13" s="11" t="s">
        <v>1</v>
      </c>
      <c r="H13" s="11" t="s">
        <v>1</v>
      </c>
      <c r="I13" s="11">
        <v>1</v>
      </c>
    </row>
    <row r="14" spans="1:11" s="10" customFormat="1" ht="25.5" x14ac:dyDescent="0.25">
      <c r="A14" s="11" t="s">
        <v>29</v>
      </c>
      <c r="B14" s="11" t="s">
        <v>12</v>
      </c>
      <c r="C14" s="11" t="s">
        <v>1</v>
      </c>
      <c r="D14" s="6" t="s">
        <v>1</v>
      </c>
      <c r="E14" s="11">
        <v>2</v>
      </c>
      <c r="F14" s="6">
        <v>1240</v>
      </c>
      <c r="G14" s="11">
        <v>2</v>
      </c>
      <c r="H14" s="6">
        <v>1240</v>
      </c>
      <c r="I14" s="11">
        <v>1</v>
      </c>
    </row>
    <row r="15" spans="1:11" s="10" customFormat="1" ht="51" x14ac:dyDescent="0.25">
      <c r="A15" s="11" t="s">
        <v>72</v>
      </c>
      <c r="B15" s="11" t="s">
        <v>13</v>
      </c>
      <c r="C15" s="11" t="s">
        <v>1</v>
      </c>
      <c r="D15" s="6" t="s">
        <v>1</v>
      </c>
      <c r="E15" s="11" t="s">
        <v>1</v>
      </c>
      <c r="F15" s="6">
        <v>1400</v>
      </c>
      <c r="G15" s="11" t="s">
        <v>1</v>
      </c>
      <c r="H15" s="11" t="s">
        <v>1</v>
      </c>
      <c r="I15" s="11">
        <v>1</v>
      </c>
    </row>
    <row r="16" spans="1:11" s="10" customFormat="1" ht="51" x14ac:dyDescent="0.25">
      <c r="A16" s="11" t="s">
        <v>73</v>
      </c>
      <c r="B16" s="11" t="s">
        <v>74</v>
      </c>
      <c r="C16" s="11">
        <v>718</v>
      </c>
      <c r="D16" s="6">
        <v>2513</v>
      </c>
      <c r="E16" s="11">
        <v>458</v>
      </c>
      <c r="F16" s="6">
        <v>1603</v>
      </c>
      <c r="G16" s="11">
        <v>459</v>
      </c>
      <c r="H16" s="6">
        <v>1605</v>
      </c>
      <c r="I16" s="11">
        <v>1</v>
      </c>
      <c r="K16" s="29">
        <f>D16/C16</f>
        <v>3.5</v>
      </c>
    </row>
    <row r="17" spans="1:9" s="10" customFormat="1" x14ac:dyDescent="0.25">
      <c r="A17" s="11" t="s">
        <v>30</v>
      </c>
      <c r="B17" s="11" t="s">
        <v>14</v>
      </c>
      <c r="C17" s="11">
        <v>1</v>
      </c>
      <c r="D17" s="6">
        <v>95</v>
      </c>
      <c r="E17" s="11" t="s">
        <v>1</v>
      </c>
      <c r="F17" s="11" t="s">
        <v>1</v>
      </c>
      <c r="G17" s="11" t="s">
        <v>1</v>
      </c>
      <c r="H17" s="11" t="s">
        <v>1</v>
      </c>
      <c r="I17" s="11">
        <v>1</v>
      </c>
    </row>
    <row r="18" spans="1:9" ht="18" customHeight="1" x14ac:dyDescent="0.25">
      <c r="A18" s="2" t="s">
        <v>2</v>
      </c>
      <c r="B18" s="2"/>
      <c r="C18" s="2"/>
      <c r="D18" s="3">
        <f>SUM(D12:D17)</f>
        <v>2608</v>
      </c>
      <c r="E18" s="3"/>
      <c r="F18" s="3">
        <f t="shared" ref="F18:H18" si="0">SUM(F12:F17)</f>
        <v>7138</v>
      </c>
      <c r="G18" s="3"/>
      <c r="H18" s="3">
        <f t="shared" si="0"/>
        <v>5645</v>
      </c>
      <c r="I18" s="3">
        <f>D18+F18+H18</f>
        <v>15391</v>
      </c>
    </row>
    <row r="19" spans="1:9" s="10" customFormat="1" x14ac:dyDescent="0.25">
      <c r="A19" s="38" t="s">
        <v>4</v>
      </c>
      <c r="B19" s="38"/>
      <c r="C19" s="38"/>
      <c r="D19" s="38"/>
      <c r="E19" s="38"/>
      <c r="F19" s="38"/>
      <c r="G19" s="38"/>
      <c r="H19" s="38"/>
      <c r="I19" s="38"/>
    </row>
    <row r="20" spans="1:9" s="10" customFormat="1" ht="38.25" x14ac:dyDescent="0.25">
      <c r="A20" s="11" t="s">
        <v>57</v>
      </c>
      <c r="B20" s="11" t="s">
        <v>58</v>
      </c>
      <c r="C20" s="11">
        <v>1</v>
      </c>
      <c r="D20" s="6">
        <v>40</v>
      </c>
      <c r="E20" s="11"/>
      <c r="F20" s="6"/>
      <c r="G20" s="11"/>
      <c r="H20" s="6"/>
      <c r="I20" s="11">
        <v>2</v>
      </c>
    </row>
    <row r="21" spans="1:9" s="10" customFormat="1" ht="25.5" x14ac:dyDescent="0.25">
      <c r="A21" s="11" t="s">
        <v>59</v>
      </c>
      <c r="B21" s="11" t="s">
        <v>61</v>
      </c>
      <c r="C21" s="11">
        <v>5</v>
      </c>
      <c r="D21" s="12">
        <v>269</v>
      </c>
      <c r="E21" s="11">
        <v>50</v>
      </c>
      <c r="F21" s="12">
        <v>1800</v>
      </c>
      <c r="G21" s="11">
        <f>30</f>
        <v>30</v>
      </c>
      <c r="H21" s="12">
        <f>780</f>
        <v>780</v>
      </c>
      <c r="I21" s="11">
        <v>3</v>
      </c>
    </row>
    <row r="22" spans="1:9" s="10" customFormat="1" ht="127.5" x14ac:dyDescent="0.25">
      <c r="A22" s="11" t="s">
        <v>31</v>
      </c>
      <c r="B22" s="11" t="s">
        <v>65</v>
      </c>
      <c r="C22" s="11">
        <f>50+20+150+83+13</f>
        <v>316</v>
      </c>
      <c r="D22" s="6">
        <f>850+260+1100+740+130</f>
        <v>3080</v>
      </c>
      <c r="E22" s="11">
        <f>50+12+200+41</f>
        <v>303</v>
      </c>
      <c r="F22" s="6">
        <f>950+156+1400+370</f>
        <v>2876</v>
      </c>
      <c r="G22" s="11">
        <f>75+6+204</f>
        <v>285</v>
      </c>
      <c r="H22" s="6">
        <f>1500+380+1450</f>
        <v>3330</v>
      </c>
      <c r="I22" s="11">
        <v>1.3</v>
      </c>
    </row>
    <row r="23" spans="1:9" s="10" customFormat="1" ht="51" x14ac:dyDescent="0.25">
      <c r="A23" s="11" t="s">
        <v>32</v>
      </c>
      <c r="B23" s="11" t="s">
        <v>62</v>
      </c>
      <c r="C23" s="11">
        <f>2+16</f>
        <v>18</v>
      </c>
      <c r="D23" s="6">
        <f>40+320</f>
        <v>360</v>
      </c>
      <c r="E23" s="11">
        <f>4+18</f>
        <v>22</v>
      </c>
      <c r="F23" s="6">
        <f>160+415</f>
        <v>575</v>
      </c>
      <c r="G23" s="11">
        <f>4+16</f>
        <v>20</v>
      </c>
      <c r="H23" s="6">
        <f>160+370</f>
        <v>530</v>
      </c>
      <c r="I23" s="11">
        <v>1</v>
      </c>
    </row>
    <row r="24" spans="1:9" s="10" customFormat="1" ht="51" x14ac:dyDescent="0.25">
      <c r="A24" s="11" t="s">
        <v>64</v>
      </c>
      <c r="B24" s="11" t="s">
        <v>62</v>
      </c>
      <c r="C24" s="11">
        <f>300+12</f>
        <v>312</v>
      </c>
      <c r="D24" s="6">
        <f>1200+312</f>
        <v>1512</v>
      </c>
      <c r="E24" s="11">
        <f>270+14</f>
        <v>284</v>
      </c>
      <c r="F24" s="6">
        <f>1100+414</f>
        <v>1514</v>
      </c>
      <c r="G24" s="11">
        <f>277+12</f>
        <v>289</v>
      </c>
      <c r="H24" s="6">
        <f>1150+362</f>
        <v>1512</v>
      </c>
      <c r="I24" s="11">
        <v>1</v>
      </c>
    </row>
    <row r="25" spans="1:9" s="10" customFormat="1" ht="25.5" x14ac:dyDescent="0.25">
      <c r="A25" s="11" t="s">
        <v>63</v>
      </c>
      <c r="B25" s="11" t="s">
        <v>60</v>
      </c>
      <c r="C25" s="11">
        <v>300</v>
      </c>
      <c r="D25" s="6">
        <f>210</f>
        <v>210</v>
      </c>
      <c r="E25" s="11">
        <f>270</f>
        <v>270</v>
      </c>
      <c r="F25" s="6">
        <f>189</f>
        <v>189</v>
      </c>
      <c r="G25" s="11">
        <f>277</f>
        <v>277</v>
      </c>
      <c r="H25" s="6">
        <f>194</f>
        <v>194</v>
      </c>
      <c r="I25" s="11">
        <v>1</v>
      </c>
    </row>
    <row r="26" spans="1:9" s="10" customFormat="1" ht="25.5" x14ac:dyDescent="0.25">
      <c r="A26" s="11" t="s">
        <v>50</v>
      </c>
      <c r="B26" s="11" t="s">
        <v>98</v>
      </c>
      <c r="C26" s="11">
        <f>67</f>
        <v>67</v>
      </c>
      <c r="D26" s="6">
        <f>35</f>
        <v>35</v>
      </c>
      <c r="E26" s="11">
        <f>70</f>
        <v>70</v>
      </c>
      <c r="F26" s="6">
        <f>40</f>
        <v>40</v>
      </c>
      <c r="G26" s="11">
        <f>70</f>
        <v>70</v>
      </c>
      <c r="H26" s="6">
        <f>40</f>
        <v>40</v>
      </c>
      <c r="I26" s="11">
        <v>2</v>
      </c>
    </row>
    <row r="27" spans="1:9" s="10" customFormat="1" ht="25.5" x14ac:dyDescent="0.25">
      <c r="A27" s="11" t="s">
        <v>29</v>
      </c>
      <c r="B27" s="11" t="s">
        <v>60</v>
      </c>
      <c r="C27" s="11">
        <v>1</v>
      </c>
      <c r="D27" s="6">
        <v>400</v>
      </c>
      <c r="E27" s="11" t="s">
        <v>1</v>
      </c>
      <c r="F27" s="6" t="s">
        <v>1</v>
      </c>
      <c r="G27" s="11" t="s">
        <v>1</v>
      </c>
      <c r="H27" s="6" t="s">
        <v>1</v>
      </c>
      <c r="I27" s="11">
        <v>1</v>
      </c>
    </row>
    <row r="28" spans="1:9" s="10" customFormat="1" ht="63.75" x14ac:dyDescent="0.25">
      <c r="A28" s="11" t="s">
        <v>51</v>
      </c>
      <c r="B28" s="11" t="s">
        <v>66</v>
      </c>
      <c r="C28" s="11">
        <f>830+129</f>
        <v>959</v>
      </c>
      <c r="D28" s="6">
        <f>3720+300</f>
        <v>4020</v>
      </c>
      <c r="E28" s="11">
        <f>720+750</f>
        <v>1470</v>
      </c>
      <c r="F28" s="6">
        <f>2100+3400</f>
        <v>5500</v>
      </c>
      <c r="G28" s="11">
        <f>650</f>
        <v>650</v>
      </c>
      <c r="H28" s="6">
        <f>3000</f>
        <v>3000</v>
      </c>
      <c r="I28" s="11">
        <v>1.3</v>
      </c>
    </row>
    <row r="29" spans="1:9" s="10" customFormat="1" ht="63.75" x14ac:dyDescent="0.25">
      <c r="A29" s="11" t="s">
        <v>25</v>
      </c>
      <c r="B29" s="11" t="s">
        <v>99</v>
      </c>
      <c r="C29" s="13">
        <f>1236+428+1384.5</f>
        <v>3048.5</v>
      </c>
      <c r="D29" s="6">
        <f>1500+341+6000</f>
        <v>7841</v>
      </c>
      <c r="E29" s="11">
        <f>622</f>
        <v>622</v>
      </c>
      <c r="F29" s="6">
        <f>750</f>
        <v>750</v>
      </c>
      <c r="G29" s="11">
        <f>596</f>
        <v>596</v>
      </c>
      <c r="H29" s="6">
        <f>720</f>
        <v>720</v>
      </c>
      <c r="I29" s="11">
        <v>1</v>
      </c>
    </row>
    <row r="30" spans="1:9" s="10" customFormat="1" ht="25.5" x14ac:dyDescent="0.25">
      <c r="A30" s="11" t="s">
        <v>70</v>
      </c>
      <c r="B30" s="11" t="s">
        <v>15</v>
      </c>
      <c r="C30" s="11">
        <v>670</v>
      </c>
      <c r="D30" s="6">
        <v>2200</v>
      </c>
      <c r="E30" s="11" t="s">
        <v>1</v>
      </c>
      <c r="F30" s="6" t="s">
        <v>1</v>
      </c>
      <c r="G30" s="11" t="s">
        <v>1</v>
      </c>
      <c r="H30" s="6" t="s">
        <v>1</v>
      </c>
      <c r="I30" s="11">
        <v>1</v>
      </c>
    </row>
    <row r="31" spans="1:9" s="10" customFormat="1" ht="23.25" customHeight="1" x14ac:dyDescent="0.25">
      <c r="A31" s="11" t="s">
        <v>33</v>
      </c>
      <c r="B31" s="11" t="s">
        <v>71</v>
      </c>
      <c r="C31" s="11">
        <f>30</f>
        <v>30</v>
      </c>
      <c r="D31" s="6">
        <f>44.73</f>
        <v>44.73</v>
      </c>
      <c r="E31" s="11">
        <f>30</f>
        <v>30</v>
      </c>
      <c r="F31" s="6">
        <v>44.73</v>
      </c>
      <c r="G31" s="11">
        <f>30</f>
        <v>30</v>
      </c>
      <c r="H31" s="6">
        <f>44.72</f>
        <v>44.72</v>
      </c>
      <c r="I31" s="11">
        <v>2</v>
      </c>
    </row>
    <row r="32" spans="1:9" s="10" customFormat="1" ht="30" customHeight="1" x14ac:dyDescent="0.25">
      <c r="A32" s="11" t="s">
        <v>100</v>
      </c>
      <c r="B32" s="11" t="s">
        <v>71</v>
      </c>
      <c r="C32" s="11" t="s">
        <v>1</v>
      </c>
      <c r="D32" s="6" t="s">
        <v>1</v>
      </c>
      <c r="E32" s="11" t="s">
        <v>1</v>
      </c>
      <c r="F32" s="6">
        <v>2200</v>
      </c>
      <c r="G32" s="11" t="s">
        <v>1</v>
      </c>
      <c r="H32" s="6"/>
      <c r="I32" s="11">
        <v>1</v>
      </c>
    </row>
    <row r="33" spans="1:9" x14ac:dyDescent="0.25">
      <c r="A33" s="2" t="s">
        <v>2</v>
      </c>
      <c r="B33" s="2"/>
      <c r="C33" s="2"/>
      <c r="D33" s="3">
        <f>SUM(D20:D32)</f>
        <v>20011.73</v>
      </c>
      <c r="E33" s="3"/>
      <c r="F33" s="3">
        <f t="shared" ref="F33:H33" si="1">SUM(F20:F32)</f>
        <v>15488.73</v>
      </c>
      <c r="G33" s="3"/>
      <c r="H33" s="3">
        <f t="shared" si="1"/>
        <v>10150.719999999999</v>
      </c>
      <c r="I33" s="3">
        <f>D33+F33+H33</f>
        <v>45651.18</v>
      </c>
    </row>
    <row r="34" spans="1:9" s="10" customFormat="1" x14ac:dyDescent="0.25">
      <c r="A34" s="38" t="s">
        <v>6</v>
      </c>
      <c r="B34" s="38"/>
      <c r="C34" s="38"/>
      <c r="D34" s="38"/>
      <c r="E34" s="38"/>
      <c r="F34" s="38"/>
      <c r="G34" s="38"/>
      <c r="H34" s="38"/>
      <c r="I34" s="38"/>
    </row>
    <row r="35" spans="1:9" s="10" customFormat="1" ht="63.75" x14ac:dyDescent="0.25">
      <c r="A35" s="11" t="s">
        <v>33</v>
      </c>
      <c r="B35" s="11" t="s">
        <v>67</v>
      </c>
      <c r="C35" s="11">
        <f>20+50</f>
        <v>70</v>
      </c>
      <c r="D35" s="6">
        <f>14.8+26.6</f>
        <v>41.400000000000006</v>
      </c>
      <c r="E35" s="11">
        <f>20+50</f>
        <v>70</v>
      </c>
      <c r="F35" s="6">
        <f>17.1+28</f>
        <v>45.1</v>
      </c>
      <c r="G35" s="11">
        <f>20+50</f>
        <v>70</v>
      </c>
      <c r="H35" s="6">
        <f>19.7+30</f>
        <v>49.7</v>
      </c>
      <c r="I35" s="11">
        <v>1</v>
      </c>
    </row>
    <row r="36" spans="1:9" s="10" customFormat="1" ht="35.25" customHeight="1" x14ac:dyDescent="0.25">
      <c r="A36" s="11" t="s">
        <v>69</v>
      </c>
      <c r="B36" s="11" t="s">
        <v>68</v>
      </c>
      <c r="C36" s="11">
        <v>100</v>
      </c>
      <c r="D36" s="6">
        <v>450</v>
      </c>
      <c r="E36" s="11" t="s">
        <v>1</v>
      </c>
      <c r="F36" s="11" t="s">
        <v>1</v>
      </c>
      <c r="G36" s="11" t="s">
        <v>1</v>
      </c>
      <c r="H36" s="11" t="s">
        <v>1</v>
      </c>
      <c r="I36" s="11">
        <v>1</v>
      </c>
    </row>
    <row r="37" spans="1:9" s="10" customFormat="1" ht="38.25" x14ac:dyDescent="0.25">
      <c r="A37" s="11" t="s">
        <v>26</v>
      </c>
      <c r="B37" s="11" t="s">
        <v>16</v>
      </c>
      <c r="C37" s="11">
        <v>570</v>
      </c>
      <c r="D37" s="6">
        <v>969</v>
      </c>
      <c r="E37" s="11" t="s">
        <v>1</v>
      </c>
      <c r="F37" s="11" t="s">
        <v>1</v>
      </c>
      <c r="G37" s="11" t="s">
        <v>1</v>
      </c>
      <c r="H37" s="11" t="s">
        <v>1</v>
      </c>
      <c r="I37" s="11">
        <v>1</v>
      </c>
    </row>
    <row r="38" spans="1:9" s="10" customFormat="1" x14ac:dyDescent="0.25">
      <c r="A38" s="6" t="s">
        <v>2</v>
      </c>
      <c r="B38" s="6"/>
      <c r="C38" s="6"/>
      <c r="D38" s="4">
        <f>SUM(D35:D37)</f>
        <v>1460.4</v>
      </c>
      <c r="E38" s="6"/>
      <c r="F38" s="4">
        <f>SUM(F35:F37)</f>
        <v>45.1</v>
      </c>
      <c r="G38" s="6"/>
      <c r="H38" s="4">
        <f>SUM(H35:H37)</f>
        <v>49.7</v>
      </c>
      <c r="I38" s="4">
        <f>F38+H38+D38</f>
        <v>1555.2</v>
      </c>
    </row>
    <row r="39" spans="1:9" s="10" customFormat="1" x14ac:dyDescent="0.25">
      <c r="A39" s="33" t="s">
        <v>7</v>
      </c>
      <c r="B39" s="34"/>
      <c r="C39" s="34"/>
      <c r="D39" s="34"/>
      <c r="E39" s="34"/>
      <c r="F39" s="34"/>
      <c r="G39" s="34"/>
      <c r="H39" s="34"/>
      <c r="I39" s="35"/>
    </row>
    <row r="40" spans="1:9" s="10" customFormat="1" x14ac:dyDescent="0.25">
      <c r="A40" s="11" t="s">
        <v>33</v>
      </c>
      <c r="B40" s="11" t="s">
        <v>77</v>
      </c>
      <c r="C40" s="11">
        <v>20</v>
      </c>
      <c r="D40" s="6">
        <v>8</v>
      </c>
      <c r="E40" s="11">
        <f>20</f>
        <v>20</v>
      </c>
      <c r="F40" s="6">
        <f>9</f>
        <v>9</v>
      </c>
      <c r="G40" s="11">
        <f>20</f>
        <v>20</v>
      </c>
      <c r="H40" s="6">
        <v>10</v>
      </c>
      <c r="I40" s="11">
        <v>1</v>
      </c>
    </row>
    <row r="41" spans="1:9" s="10" customFormat="1" ht="25.5" x14ac:dyDescent="0.25">
      <c r="A41" s="11" t="s">
        <v>52</v>
      </c>
      <c r="B41" s="11" t="s">
        <v>77</v>
      </c>
      <c r="C41" s="11">
        <v>20</v>
      </c>
      <c r="D41" s="6">
        <v>60</v>
      </c>
      <c r="E41" s="11">
        <v>20</v>
      </c>
      <c r="F41" s="6">
        <v>65</v>
      </c>
      <c r="G41" s="11">
        <v>20</v>
      </c>
      <c r="H41" s="6">
        <v>80</v>
      </c>
      <c r="I41" s="11">
        <v>1</v>
      </c>
    </row>
    <row r="42" spans="1:9" s="10" customFormat="1" x14ac:dyDescent="0.25">
      <c r="A42" s="11" t="s">
        <v>39</v>
      </c>
      <c r="B42" s="11" t="s">
        <v>78</v>
      </c>
      <c r="C42" s="11">
        <v>2</v>
      </c>
      <c r="D42" s="6">
        <v>16</v>
      </c>
      <c r="E42" s="11">
        <v>2</v>
      </c>
      <c r="F42" s="6">
        <v>16</v>
      </c>
      <c r="G42" s="11">
        <v>2</v>
      </c>
      <c r="H42" s="6">
        <v>16</v>
      </c>
      <c r="I42" s="11">
        <v>1</v>
      </c>
    </row>
    <row r="43" spans="1:9" s="10" customFormat="1" ht="25.5" x14ac:dyDescent="0.25">
      <c r="A43" s="11" t="s">
        <v>79</v>
      </c>
      <c r="B43" s="11" t="s">
        <v>17</v>
      </c>
      <c r="C43" s="11" t="s">
        <v>1</v>
      </c>
      <c r="D43" s="11" t="s">
        <v>1</v>
      </c>
      <c r="E43" s="11">
        <v>55</v>
      </c>
      <c r="F43" s="6">
        <v>300</v>
      </c>
      <c r="G43" s="11" t="s">
        <v>1</v>
      </c>
      <c r="H43" s="11" t="s">
        <v>1</v>
      </c>
      <c r="I43" s="11">
        <v>1</v>
      </c>
    </row>
    <row r="44" spans="1:9" s="10" customFormat="1" ht="25.5" x14ac:dyDescent="0.25">
      <c r="A44" s="11" t="s">
        <v>26</v>
      </c>
      <c r="B44" s="11" t="s">
        <v>76</v>
      </c>
      <c r="C44" s="11" t="s">
        <v>1</v>
      </c>
      <c r="D44" s="11" t="s">
        <v>1</v>
      </c>
      <c r="E44" s="11">
        <v>1543.4</v>
      </c>
      <c r="F44" s="6">
        <v>2485</v>
      </c>
      <c r="G44" s="11" t="s">
        <v>1</v>
      </c>
      <c r="H44" s="11" t="s">
        <v>1</v>
      </c>
      <c r="I44" s="11">
        <v>1</v>
      </c>
    </row>
    <row r="45" spans="1:9" s="10" customFormat="1" x14ac:dyDescent="0.25">
      <c r="A45" s="5" t="s">
        <v>2</v>
      </c>
      <c r="B45" s="14"/>
      <c r="C45" s="14"/>
      <c r="D45" s="4">
        <f>SUM(D40:D44)</f>
        <v>84</v>
      </c>
      <c r="E45" s="5"/>
      <c r="F45" s="4">
        <f>SUM(F40:F44)</f>
        <v>2875</v>
      </c>
      <c r="G45" s="5"/>
      <c r="H45" s="4">
        <f>SUM(H40:H44)</f>
        <v>106</v>
      </c>
      <c r="I45" s="4">
        <f>D45+F45+H45</f>
        <v>3065</v>
      </c>
    </row>
    <row r="46" spans="1:9" s="10" customFormat="1" x14ac:dyDescent="0.25">
      <c r="A46" s="38" t="s">
        <v>5</v>
      </c>
      <c r="B46" s="38"/>
      <c r="C46" s="38"/>
      <c r="D46" s="38"/>
      <c r="E46" s="38"/>
      <c r="F46" s="38"/>
      <c r="G46" s="38"/>
      <c r="H46" s="38"/>
      <c r="I46" s="38"/>
    </row>
    <row r="47" spans="1:9" s="10" customFormat="1" ht="25.5" x14ac:dyDescent="0.25">
      <c r="A47" s="11" t="s">
        <v>88</v>
      </c>
      <c r="B47" s="11" t="s">
        <v>107</v>
      </c>
      <c r="C47" s="11">
        <v>4</v>
      </c>
      <c r="D47" s="6">
        <v>10</v>
      </c>
      <c r="E47" s="11" t="s">
        <v>1</v>
      </c>
      <c r="F47" s="11" t="s">
        <v>1</v>
      </c>
      <c r="G47" s="11" t="s">
        <v>1</v>
      </c>
      <c r="H47" s="11" t="s">
        <v>1</v>
      </c>
      <c r="I47" s="11">
        <v>2</v>
      </c>
    </row>
    <row r="48" spans="1:9" s="10" customFormat="1" ht="25.5" x14ac:dyDescent="0.25">
      <c r="A48" s="11" t="s">
        <v>87</v>
      </c>
      <c r="B48" s="11" t="s">
        <v>107</v>
      </c>
      <c r="C48" s="11" t="s">
        <v>1</v>
      </c>
      <c r="D48" s="11" t="s">
        <v>1</v>
      </c>
      <c r="E48" s="11">
        <v>14</v>
      </c>
      <c r="F48" s="6">
        <v>5</v>
      </c>
      <c r="G48" s="11" t="s">
        <v>1</v>
      </c>
      <c r="H48" s="11" t="s">
        <v>1</v>
      </c>
      <c r="I48" s="11">
        <v>2</v>
      </c>
    </row>
    <row r="49" spans="1:9" s="10" customFormat="1" ht="27" customHeight="1" x14ac:dyDescent="0.25">
      <c r="A49" s="11" t="s">
        <v>85</v>
      </c>
      <c r="B49" s="11" t="s">
        <v>86</v>
      </c>
      <c r="C49" s="11" t="s">
        <v>1</v>
      </c>
      <c r="D49" s="11" t="s">
        <v>1</v>
      </c>
      <c r="E49" s="11">
        <v>75</v>
      </c>
      <c r="F49" s="6">
        <v>75</v>
      </c>
      <c r="G49" s="11" t="s">
        <v>1</v>
      </c>
      <c r="H49" s="11" t="s">
        <v>1</v>
      </c>
      <c r="I49" s="11">
        <v>1</v>
      </c>
    </row>
    <row r="50" spans="1:9" s="10" customFormat="1" ht="27" customHeight="1" x14ac:dyDescent="0.25">
      <c r="A50" s="11" t="s">
        <v>102</v>
      </c>
      <c r="B50" s="11" t="s">
        <v>101</v>
      </c>
      <c r="C50" s="11">
        <v>6</v>
      </c>
      <c r="D50" s="6">
        <v>650</v>
      </c>
      <c r="E50" s="11" t="s">
        <v>1</v>
      </c>
      <c r="F50" s="11" t="s">
        <v>1</v>
      </c>
      <c r="G50" s="11" t="s">
        <v>1</v>
      </c>
      <c r="H50" s="11" t="s">
        <v>1</v>
      </c>
      <c r="I50" s="11">
        <v>1</v>
      </c>
    </row>
    <row r="51" spans="1:9" s="10" customFormat="1" ht="27" customHeight="1" x14ac:dyDescent="0.25">
      <c r="A51" s="11" t="s">
        <v>104</v>
      </c>
      <c r="B51" s="11" t="s">
        <v>101</v>
      </c>
      <c r="C51" s="11" t="s">
        <v>1</v>
      </c>
      <c r="D51" s="11" t="s">
        <v>1</v>
      </c>
      <c r="E51" s="11" t="s">
        <v>1</v>
      </c>
      <c r="F51" s="11" t="s">
        <v>1</v>
      </c>
      <c r="G51" s="11">
        <v>1200</v>
      </c>
      <c r="H51" s="6">
        <v>2000</v>
      </c>
      <c r="I51" s="11">
        <v>1</v>
      </c>
    </row>
    <row r="52" spans="1:9" s="10" customFormat="1" ht="27" customHeight="1" x14ac:dyDescent="0.25">
      <c r="A52" s="11" t="s">
        <v>103</v>
      </c>
      <c r="B52" s="11" t="s">
        <v>101</v>
      </c>
      <c r="C52" s="11">
        <v>3962</v>
      </c>
      <c r="D52" s="6">
        <v>5000</v>
      </c>
      <c r="E52" s="11" t="s">
        <v>1</v>
      </c>
      <c r="F52" s="11" t="s">
        <v>1</v>
      </c>
      <c r="G52" s="11" t="s">
        <v>1</v>
      </c>
      <c r="H52" s="11" t="s">
        <v>1</v>
      </c>
      <c r="I52" s="11">
        <v>1</v>
      </c>
    </row>
    <row r="53" spans="1:9" s="10" customFormat="1" ht="27" customHeight="1" x14ac:dyDescent="0.25">
      <c r="A53" s="11" t="s">
        <v>33</v>
      </c>
      <c r="B53" s="11" t="s">
        <v>105</v>
      </c>
      <c r="C53" s="11">
        <v>6</v>
      </c>
      <c r="D53" s="6">
        <v>3</v>
      </c>
      <c r="E53" s="11" t="s">
        <v>1</v>
      </c>
      <c r="F53" s="11" t="s">
        <v>1</v>
      </c>
      <c r="G53" s="11" t="s">
        <v>1</v>
      </c>
      <c r="H53" s="11" t="s">
        <v>1</v>
      </c>
      <c r="I53" s="11">
        <v>2</v>
      </c>
    </row>
    <row r="54" spans="1:9" s="10" customFormat="1" ht="27" customHeight="1" x14ac:dyDescent="0.25">
      <c r="A54" s="11" t="s">
        <v>52</v>
      </c>
      <c r="B54" s="11" t="s">
        <v>106</v>
      </c>
      <c r="C54" s="11">
        <f>281+1075</f>
        <v>1356</v>
      </c>
      <c r="D54" s="6">
        <f>180+688</f>
        <v>868</v>
      </c>
      <c r="E54" s="11" t="s">
        <v>1</v>
      </c>
      <c r="F54" s="11" t="s">
        <v>1</v>
      </c>
      <c r="G54" s="11" t="s">
        <v>1</v>
      </c>
      <c r="H54" s="11" t="s">
        <v>1</v>
      </c>
      <c r="I54" s="11"/>
    </row>
    <row r="55" spans="1:9" s="10" customFormat="1" x14ac:dyDescent="0.25">
      <c r="A55" s="5" t="s">
        <v>2</v>
      </c>
      <c r="B55" s="11"/>
      <c r="C55" s="11"/>
      <c r="D55" s="4">
        <f>SUM(D47:D54)</f>
        <v>6531</v>
      </c>
      <c r="E55" s="6"/>
      <c r="F55" s="4">
        <f t="shared" ref="F55:H55" si="2">SUM(F47:F54)</f>
        <v>80</v>
      </c>
      <c r="G55" s="6"/>
      <c r="H55" s="4">
        <f t="shared" si="2"/>
        <v>2000</v>
      </c>
      <c r="I55" s="4">
        <f>D55+F55+H55</f>
        <v>8611</v>
      </c>
    </row>
    <row r="56" spans="1:9" s="10" customFormat="1" x14ac:dyDescent="0.25">
      <c r="A56" s="38" t="s">
        <v>90</v>
      </c>
      <c r="B56" s="38"/>
      <c r="C56" s="38"/>
      <c r="D56" s="38"/>
      <c r="E56" s="38"/>
      <c r="F56" s="38"/>
      <c r="G56" s="38"/>
      <c r="H56" s="38"/>
      <c r="I56" s="38"/>
    </row>
    <row r="57" spans="1:9" s="10" customFormat="1" ht="25.5" x14ac:dyDescent="0.25">
      <c r="A57" s="11" t="s">
        <v>64</v>
      </c>
      <c r="B57" s="11" t="s">
        <v>108</v>
      </c>
      <c r="C57" s="11">
        <f>42+15</f>
        <v>57</v>
      </c>
      <c r="D57" s="6">
        <f>118.2+42.15</f>
        <v>160.35</v>
      </c>
      <c r="E57" s="11">
        <f>42+15</f>
        <v>57</v>
      </c>
      <c r="F57" s="6">
        <f>132.3+47.25</f>
        <v>179.55</v>
      </c>
      <c r="G57" s="11">
        <f>42+15</f>
        <v>57</v>
      </c>
      <c r="H57" s="6">
        <f>138.6+49.5</f>
        <v>188.1</v>
      </c>
      <c r="I57" s="11">
        <v>1</v>
      </c>
    </row>
    <row r="58" spans="1:9" s="10" customFormat="1" x14ac:dyDescent="0.25">
      <c r="A58" s="11" t="s">
        <v>91</v>
      </c>
      <c r="B58" s="11" t="s">
        <v>108</v>
      </c>
      <c r="C58" s="11">
        <f>2</f>
        <v>2</v>
      </c>
      <c r="D58" s="6">
        <f>4</f>
        <v>4</v>
      </c>
      <c r="E58" s="11">
        <f>2</f>
        <v>2</v>
      </c>
      <c r="F58" s="6">
        <f>4.6</f>
        <v>4.5999999999999996</v>
      </c>
      <c r="G58" s="11">
        <f>2</f>
        <v>2</v>
      </c>
      <c r="H58" s="6">
        <f>5</f>
        <v>5</v>
      </c>
      <c r="I58" s="11">
        <v>1</v>
      </c>
    </row>
    <row r="59" spans="1:9" s="10" customFormat="1" ht="25.5" x14ac:dyDescent="0.25">
      <c r="A59" s="11" t="s">
        <v>92</v>
      </c>
      <c r="B59" s="11" t="s">
        <v>111</v>
      </c>
      <c r="C59" s="11">
        <f>185.5*3</f>
        <v>556.5</v>
      </c>
      <c r="D59" s="6">
        <f>222.6*3</f>
        <v>667.8</v>
      </c>
      <c r="E59" s="11">
        <f>1609*3</f>
        <v>4827</v>
      </c>
      <c r="F59" s="6">
        <f>1367.65*3</f>
        <v>4102.9500000000007</v>
      </c>
      <c r="G59" s="11">
        <f>424.8*3</f>
        <v>1274.4000000000001</v>
      </c>
      <c r="H59" s="6">
        <f>637.2*3+712.5</f>
        <v>2624.1000000000004</v>
      </c>
      <c r="I59" s="11">
        <v>1</v>
      </c>
    </row>
    <row r="60" spans="1:9" s="10" customFormat="1" ht="25.5" x14ac:dyDescent="0.25">
      <c r="A60" s="11" t="s">
        <v>110</v>
      </c>
      <c r="B60" s="11" t="s">
        <v>109</v>
      </c>
      <c r="C60" s="11">
        <v>80</v>
      </c>
      <c r="D60" s="6">
        <v>4</v>
      </c>
      <c r="E60" s="11" t="s">
        <v>1</v>
      </c>
      <c r="F60" s="6" t="s">
        <v>1</v>
      </c>
      <c r="G60" s="11" t="s">
        <v>1</v>
      </c>
      <c r="H60" s="11" t="s">
        <v>1</v>
      </c>
      <c r="I60" s="11">
        <v>1</v>
      </c>
    </row>
    <row r="61" spans="1:9" s="10" customFormat="1" ht="25.5" x14ac:dyDescent="0.25">
      <c r="A61" s="11" t="s">
        <v>50</v>
      </c>
      <c r="B61" s="11" t="s">
        <v>109</v>
      </c>
      <c r="C61" s="11" t="s">
        <v>1</v>
      </c>
      <c r="D61" s="6">
        <v>120</v>
      </c>
      <c r="E61" s="11" t="s">
        <v>1</v>
      </c>
      <c r="F61" s="6" t="s">
        <v>1</v>
      </c>
      <c r="G61" s="11" t="s">
        <v>1</v>
      </c>
      <c r="H61" s="11" t="s">
        <v>1</v>
      </c>
      <c r="I61" s="11">
        <v>1</v>
      </c>
    </row>
    <row r="62" spans="1:9" s="10" customFormat="1" ht="25.5" x14ac:dyDescent="0.25">
      <c r="A62" s="11" t="s">
        <v>29</v>
      </c>
      <c r="B62" s="11" t="s">
        <v>109</v>
      </c>
      <c r="C62" s="11" t="s">
        <v>1</v>
      </c>
      <c r="D62" s="6" t="s">
        <v>1</v>
      </c>
      <c r="E62" s="11">
        <v>1</v>
      </c>
      <c r="F62" s="6">
        <v>182</v>
      </c>
      <c r="G62" s="11" t="s">
        <v>1</v>
      </c>
      <c r="H62" s="11" t="s">
        <v>1</v>
      </c>
      <c r="I62" s="11">
        <v>1</v>
      </c>
    </row>
    <row r="63" spans="1:9" s="10" customFormat="1" x14ac:dyDescent="0.25">
      <c r="A63" s="5" t="s">
        <v>2</v>
      </c>
      <c r="B63" s="11"/>
      <c r="C63" s="11"/>
      <c r="D63" s="4">
        <f>SUM(D57:D62)</f>
        <v>956.15</v>
      </c>
      <c r="E63" s="4"/>
      <c r="F63" s="4">
        <f t="shared" ref="F63:H63" si="3">SUM(F57:F62)</f>
        <v>4469.1000000000004</v>
      </c>
      <c r="G63" s="4"/>
      <c r="H63" s="4">
        <f t="shared" si="3"/>
        <v>2817.2000000000003</v>
      </c>
      <c r="I63" s="5">
        <f>D63+F63+H63</f>
        <v>8242.4500000000007</v>
      </c>
    </row>
    <row r="64" spans="1:9" s="10" customFormat="1" ht="15" customHeight="1" x14ac:dyDescent="0.25">
      <c r="A64" s="38" t="s">
        <v>18</v>
      </c>
      <c r="B64" s="38"/>
      <c r="C64" s="38"/>
      <c r="D64" s="38"/>
      <c r="E64" s="38"/>
      <c r="F64" s="38"/>
      <c r="G64" s="38"/>
      <c r="H64" s="38"/>
      <c r="I64" s="38"/>
    </row>
    <row r="65" spans="1:15" s="10" customFormat="1" ht="30" customHeight="1" x14ac:dyDescent="0.25">
      <c r="A65" s="11" t="s">
        <v>83</v>
      </c>
      <c r="B65" s="11" t="s">
        <v>53</v>
      </c>
      <c r="C65" s="13">
        <v>27</v>
      </c>
      <c r="D65" s="6">
        <v>23.5</v>
      </c>
      <c r="E65" s="13" t="s">
        <v>1</v>
      </c>
      <c r="F65" s="11" t="s">
        <v>1</v>
      </c>
      <c r="G65" s="11" t="s">
        <v>1</v>
      </c>
      <c r="H65" s="11" t="s">
        <v>1</v>
      </c>
      <c r="I65" s="11">
        <v>1</v>
      </c>
    </row>
    <row r="66" spans="1:15" s="10" customFormat="1" ht="30" customHeight="1" x14ac:dyDescent="0.25">
      <c r="A66" s="11" t="s">
        <v>31</v>
      </c>
      <c r="B66" s="36" t="s">
        <v>81</v>
      </c>
      <c r="C66" s="13">
        <f>5*2.25</f>
        <v>11.25</v>
      </c>
      <c r="D66" s="6">
        <f>C66*3.5</f>
        <v>39.375</v>
      </c>
      <c r="E66" s="13">
        <v>11.25</v>
      </c>
      <c r="F66" s="6">
        <f>E66*3.5</f>
        <v>39.375</v>
      </c>
      <c r="G66" s="13">
        <v>11.25</v>
      </c>
      <c r="H66" s="6">
        <f>G66*3.5</f>
        <v>39.375</v>
      </c>
      <c r="I66" s="11">
        <v>1</v>
      </c>
    </row>
    <row r="67" spans="1:15" s="10" customFormat="1" ht="25.5" customHeight="1" x14ac:dyDescent="0.25">
      <c r="A67" s="11" t="s">
        <v>84</v>
      </c>
      <c r="B67" s="37"/>
      <c r="C67" s="13">
        <f>7*3</f>
        <v>21</v>
      </c>
      <c r="D67" s="6">
        <f>C67*4</f>
        <v>84</v>
      </c>
      <c r="E67" s="13">
        <f>9*3</f>
        <v>27</v>
      </c>
      <c r="F67" s="6">
        <f>E67*4</f>
        <v>108</v>
      </c>
      <c r="G67" s="13">
        <v>27</v>
      </c>
      <c r="H67" s="6">
        <f>G67*4</f>
        <v>108</v>
      </c>
      <c r="I67" s="11">
        <v>1</v>
      </c>
    </row>
    <row r="68" spans="1:15" s="10" customFormat="1" ht="28.5" customHeight="1" x14ac:dyDescent="0.25">
      <c r="A68" s="11" t="s">
        <v>89</v>
      </c>
      <c r="B68" s="11" t="s">
        <v>82</v>
      </c>
      <c r="C68" s="13">
        <v>1</v>
      </c>
      <c r="D68" s="6">
        <v>25</v>
      </c>
      <c r="E68" s="13" t="s">
        <v>1</v>
      </c>
      <c r="F68" s="11" t="s">
        <v>1</v>
      </c>
      <c r="G68" s="13" t="s">
        <v>1</v>
      </c>
      <c r="H68" s="11" t="s">
        <v>1</v>
      </c>
      <c r="I68" s="11">
        <v>1</v>
      </c>
    </row>
    <row r="69" spans="1:15" s="10" customFormat="1" ht="24.75" customHeight="1" x14ac:dyDescent="0.25">
      <c r="A69" s="11" t="s">
        <v>33</v>
      </c>
      <c r="B69" s="36" t="s">
        <v>80</v>
      </c>
      <c r="C69" s="13">
        <v>10</v>
      </c>
      <c r="D69" s="6">
        <v>11</v>
      </c>
      <c r="E69" s="13" t="s">
        <v>1</v>
      </c>
      <c r="F69" s="11" t="s">
        <v>1</v>
      </c>
      <c r="G69" s="13" t="s">
        <v>1</v>
      </c>
      <c r="H69" s="11" t="s">
        <v>1</v>
      </c>
      <c r="I69" s="11">
        <v>1</v>
      </c>
    </row>
    <row r="70" spans="1:15" s="10" customFormat="1" ht="29.25" customHeight="1" x14ac:dyDescent="0.25">
      <c r="A70" s="11" t="s">
        <v>31</v>
      </c>
      <c r="B70" s="37"/>
      <c r="C70" s="13">
        <f>9+3</f>
        <v>12</v>
      </c>
      <c r="D70" s="6">
        <f>73+36</f>
        <v>109</v>
      </c>
      <c r="E70" s="13">
        <f>10</f>
        <v>10</v>
      </c>
      <c r="F70" s="6">
        <f>79+45</f>
        <v>124</v>
      </c>
      <c r="G70" s="13">
        <v>5</v>
      </c>
      <c r="H70" s="6">
        <v>57.5</v>
      </c>
      <c r="I70" s="11">
        <v>1</v>
      </c>
    </row>
    <row r="71" spans="1:15" s="10" customFormat="1" ht="42.75" customHeight="1" x14ac:dyDescent="0.25">
      <c r="A71" s="11" t="s">
        <v>75</v>
      </c>
      <c r="B71" s="36" t="s">
        <v>38</v>
      </c>
      <c r="C71" s="13" t="s">
        <v>1</v>
      </c>
      <c r="D71" s="6" t="s">
        <v>1</v>
      </c>
      <c r="E71" s="13">
        <v>2</v>
      </c>
      <c r="F71" s="6">
        <v>80</v>
      </c>
      <c r="G71" s="13" t="s">
        <v>1</v>
      </c>
      <c r="H71" s="11" t="s">
        <v>1</v>
      </c>
      <c r="I71" s="11">
        <v>1</v>
      </c>
    </row>
    <row r="72" spans="1:15" s="10" customFormat="1" ht="30.75" customHeight="1" x14ac:dyDescent="0.25">
      <c r="A72" s="11" t="s">
        <v>34</v>
      </c>
      <c r="B72" s="50"/>
      <c r="C72" s="13">
        <v>1</v>
      </c>
      <c r="D72" s="6">
        <v>7</v>
      </c>
      <c r="E72" s="13">
        <v>1</v>
      </c>
      <c r="F72" s="6">
        <v>7</v>
      </c>
      <c r="G72" s="13">
        <v>1</v>
      </c>
      <c r="H72" s="6">
        <v>8</v>
      </c>
      <c r="I72" s="11">
        <v>1.2</v>
      </c>
    </row>
    <row r="73" spans="1:15" s="10" customFormat="1" ht="25.5" x14ac:dyDescent="0.25">
      <c r="A73" s="11" t="s">
        <v>29</v>
      </c>
      <c r="B73" s="40" t="s">
        <v>40</v>
      </c>
      <c r="C73" s="13">
        <v>1</v>
      </c>
      <c r="D73" s="6">
        <v>680</v>
      </c>
      <c r="E73" s="13" t="s">
        <v>1</v>
      </c>
      <c r="F73" s="6" t="s">
        <v>1</v>
      </c>
      <c r="G73" s="13" t="s">
        <v>1</v>
      </c>
      <c r="H73" s="6" t="s">
        <v>1</v>
      </c>
      <c r="I73" s="11">
        <v>1</v>
      </c>
    </row>
    <row r="74" spans="1:15" s="10" customFormat="1" ht="25.5" x14ac:dyDescent="0.25">
      <c r="A74" s="11" t="s">
        <v>64</v>
      </c>
      <c r="B74" s="41"/>
      <c r="C74" s="13" t="s">
        <v>1</v>
      </c>
      <c r="D74" s="6" t="s">
        <v>1</v>
      </c>
      <c r="E74" s="13">
        <v>37</v>
      </c>
      <c r="F74" s="6">
        <v>316</v>
      </c>
      <c r="G74" s="13" t="s">
        <v>1</v>
      </c>
      <c r="H74" s="6" t="s">
        <v>1</v>
      </c>
      <c r="I74" s="11">
        <v>1</v>
      </c>
    </row>
    <row r="75" spans="1:15" x14ac:dyDescent="0.25">
      <c r="A75" s="11" t="s">
        <v>138</v>
      </c>
      <c r="B75" s="42"/>
      <c r="C75" s="13">
        <v>10</v>
      </c>
      <c r="D75" s="27">
        <f>(100000+80000+60000+10000)/1000</f>
        <v>250</v>
      </c>
      <c r="E75" s="13" t="s">
        <v>1</v>
      </c>
      <c r="F75" s="6" t="s">
        <v>1</v>
      </c>
      <c r="G75" s="13" t="s">
        <v>1</v>
      </c>
      <c r="H75" s="6" t="s">
        <v>1</v>
      </c>
      <c r="I75" s="11">
        <v>1</v>
      </c>
      <c r="L75" s="31"/>
      <c r="M75" s="31"/>
      <c r="N75" s="31"/>
      <c r="O75" s="31"/>
    </row>
    <row r="76" spans="1:15" x14ac:dyDescent="0.25">
      <c r="A76" s="2" t="s">
        <v>2</v>
      </c>
      <c r="B76" s="1"/>
      <c r="C76" s="1"/>
      <c r="D76" s="3">
        <f>SUM(D65:D75)</f>
        <v>1228.875</v>
      </c>
      <c r="E76" s="2"/>
      <c r="F76" s="3">
        <f>SUM(F65:F75)</f>
        <v>674.375</v>
      </c>
      <c r="G76" s="2"/>
      <c r="H76" s="3">
        <f>SUM(H65:H75)</f>
        <v>212.875</v>
      </c>
      <c r="I76" s="2">
        <f>D76+F76+H76</f>
        <v>2116.125</v>
      </c>
      <c r="L76" s="31">
        <f>10000/410*4000</f>
        <v>97560.975609756104</v>
      </c>
      <c r="M76" s="31">
        <f>400000*0.2</f>
        <v>80000</v>
      </c>
      <c r="N76" s="31">
        <f>10000/410*2500</f>
        <v>60975.609756097561</v>
      </c>
      <c r="O76" s="31"/>
    </row>
    <row r="77" spans="1:15" s="10" customFormat="1" ht="15" customHeight="1" x14ac:dyDescent="0.25">
      <c r="A77" s="38" t="s">
        <v>41</v>
      </c>
      <c r="B77" s="38"/>
      <c r="C77" s="38"/>
      <c r="D77" s="38"/>
      <c r="E77" s="38"/>
      <c r="F77" s="38"/>
      <c r="G77" s="38"/>
      <c r="H77" s="38"/>
      <c r="I77" s="38"/>
      <c r="L77" s="29"/>
      <c r="M77" s="29"/>
      <c r="N77" s="29"/>
      <c r="O77" s="29"/>
    </row>
    <row r="78" spans="1:15" s="10" customFormat="1" ht="15" customHeight="1" x14ac:dyDescent="0.25">
      <c r="A78" s="11" t="s">
        <v>32</v>
      </c>
      <c r="B78" s="55" t="s">
        <v>21</v>
      </c>
      <c r="C78" s="11">
        <v>5</v>
      </c>
      <c r="D78" s="6">
        <v>125</v>
      </c>
      <c r="E78" s="11" t="s">
        <v>1</v>
      </c>
      <c r="F78" s="6" t="s">
        <v>1</v>
      </c>
      <c r="G78" s="11" t="s">
        <v>1</v>
      </c>
      <c r="H78" s="6" t="s">
        <v>1</v>
      </c>
      <c r="I78" s="11">
        <v>1</v>
      </c>
      <c r="L78" s="29"/>
      <c r="M78" s="29"/>
      <c r="N78" s="29"/>
      <c r="O78" s="29"/>
    </row>
    <row r="79" spans="1:15" s="10" customFormat="1" ht="16.5" customHeight="1" x14ac:dyDescent="0.25">
      <c r="A79" s="11" t="s">
        <v>117</v>
      </c>
      <c r="B79" s="55"/>
      <c r="C79" s="11">
        <v>10</v>
      </c>
      <c r="D79" s="6">
        <v>25</v>
      </c>
      <c r="E79" s="11">
        <v>10</v>
      </c>
      <c r="F79" s="6">
        <v>27</v>
      </c>
      <c r="G79" s="11">
        <v>8</v>
      </c>
      <c r="H79" s="6">
        <v>24</v>
      </c>
      <c r="I79" s="11">
        <v>1</v>
      </c>
    </row>
    <row r="80" spans="1:15" s="10" customFormat="1" ht="15.75" customHeight="1" x14ac:dyDescent="0.25">
      <c r="A80" s="11" t="s">
        <v>115</v>
      </c>
      <c r="B80" s="55"/>
      <c r="C80" s="11">
        <v>15</v>
      </c>
      <c r="D80" s="6">
        <v>82</v>
      </c>
      <c r="E80" s="11" t="s">
        <v>1</v>
      </c>
      <c r="F80" s="6" t="s">
        <v>1</v>
      </c>
      <c r="G80" s="11" t="s">
        <v>1</v>
      </c>
      <c r="H80" s="6" t="s">
        <v>1</v>
      </c>
      <c r="I80" s="11">
        <v>1</v>
      </c>
    </row>
    <row r="81" spans="1:16" s="10" customFormat="1" ht="28.5" customHeight="1" x14ac:dyDescent="0.25">
      <c r="A81" s="11" t="s">
        <v>116</v>
      </c>
      <c r="B81" s="55"/>
      <c r="C81" s="11">
        <v>7</v>
      </c>
      <c r="D81" s="6">
        <v>105</v>
      </c>
      <c r="E81" s="11">
        <v>1</v>
      </c>
      <c r="F81" s="6">
        <v>50</v>
      </c>
      <c r="G81" s="11" t="s">
        <v>1</v>
      </c>
      <c r="H81" s="6" t="s">
        <v>1</v>
      </c>
      <c r="I81" s="11">
        <v>1</v>
      </c>
    </row>
    <row r="82" spans="1:16" s="10" customFormat="1" ht="25.5" x14ac:dyDescent="0.25">
      <c r="A82" s="11" t="s">
        <v>114</v>
      </c>
      <c r="B82" s="55"/>
      <c r="C82" s="11">
        <v>4</v>
      </c>
      <c r="D82" s="6">
        <v>320</v>
      </c>
      <c r="E82" s="11">
        <v>4</v>
      </c>
      <c r="F82" s="6">
        <v>400</v>
      </c>
      <c r="G82" s="11" t="s">
        <v>1</v>
      </c>
      <c r="H82" s="6" t="s">
        <v>1</v>
      </c>
      <c r="I82" s="11">
        <v>1</v>
      </c>
    </row>
    <row r="83" spans="1:16" s="10" customFormat="1" ht="25.5" x14ac:dyDescent="0.25">
      <c r="A83" s="11" t="s">
        <v>118</v>
      </c>
      <c r="B83" s="55"/>
      <c r="C83" s="11">
        <v>2</v>
      </c>
      <c r="D83" s="6">
        <v>80</v>
      </c>
      <c r="E83" s="11">
        <v>2</v>
      </c>
      <c r="F83" s="6">
        <v>80</v>
      </c>
      <c r="G83" s="11">
        <v>4</v>
      </c>
      <c r="H83" s="6">
        <v>160</v>
      </c>
      <c r="I83" s="11">
        <v>1</v>
      </c>
    </row>
    <row r="84" spans="1:16" s="10" customFormat="1" ht="25.5" x14ac:dyDescent="0.25">
      <c r="A84" s="11" t="s">
        <v>113</v>
      </c>
      <c r="B84" s="55"/>
      <c r="C84" s="11">
        <v>2</v>
      </c>
      <c r="D84" s="6">
        <v>40</v>
      </c>
      <c r="E84" s="11">
        <v>2</v>
      </c>
      <c r="F84" s="6">
        <v>50</v>
      </c>
      <c r="G84" s="11">
        <v>3</v>
      </c>
      <c r="H84" s="6">
        <v>75</v>
      </c>
      <c r="I84" s="11">
        <v>1</v>
      </c>
    </row>
    <row r="85" spans="1:16" s="10" customFormat="1" x14ac:dyDescent="0.25">
      <c r="A85" s="11" t="s">
        <v>35</v>
      </c>
      <c r="B85" s="55"/>
      <c r="C85" s="11" t="s">
        <v>1</v>
      </c>
      <c r="D85" s="6" t="s">
        <v>1</v>
      </c>
      <c r="E85" s="11">
        <v>1</v>
      </c>
      <c r="F85" s="6">
        <v>300</v>
      </c>
      <c r="G85" s="11" t="s">
        <v>1</v>
      </c>
      <c r="H85" s="6" t="s">
        <v>1</v>
      </c>
      <c r="I85" s="11">
        <v>1</v>
      </c>
    </row>
    <row r="86" spans="1:16" s="10" customFormat="1" x14ac:dyDescent="0.25">
      <c r="A86" s="11" t="s">
        <v>119</v>
      </c>
      <c r="B86" s="55"/>
      <c r="C86" s="11">
        <v>10</v>
      </c>
      <c r="D86" s="6">
        <v>100</v>
      </c>
      <c r="E86" s="11">
        <v>15</v>
      </c>
      <c r="F86" s="6">
        <v>220</v>
      </c>
      <c r="G86" s="11">
        <v>13</v>
      </c>
      <c r="H86" s="6">
        <v>200</v>
      </c>
      <c r="I86" s="11">
        <v>1</v>
      </c>
    </row>
    <row r="87" spans="1:16" s="10" customFormat="1" x14ac:dyDescent="0.25">
      <c r="A87" s="11" t="s">
        <v>112</v>
      </c>
      <c r="B87" s="55"/>
      <c r="C87" s="11">
        <v>832</v>
      </c>
      <c r="D87" s="6">
        <v>1000</v>
      </c>
      <c r="E87" s="11">
        <v>900</v>
      </c>
      <c r="F87" s="6">
        <v>1200</v>
      </c>
      <c r="G87" s="15">
        <v>993</v>
      </c>
      <c r="H87" s="6">
        <v>1300</v>
      </c>
      <c r="I87" s="11">
        <v>1</v>
      </c>
    </row>
    <row r="88" spans="1:16" s="10" customFormat="1" ht="12" customHeight="1" x14ac:dyDescent="0.25">
      <c r="A88" s="11" t="s">
        <v>36</v>
      </c>
      <c r="B88" s="55" t="s">
        <v>19</v>
      </c>
      <c r="C88" s="11">
        <v>100</v>
      </c>
      <c r="D88" s="6">
        <v>600</v>
      </c>
      <c r="E88" s="11">
        <v>100</v>
      </c>
      <c r="F88" s="6">
        <v>600</v>
      </c>
      <c r="G88" s="11">
        <v>100</v>
      </c>
      <c r="H88" s="6">
        <v>600</v>
      </c>
      <c r="I88" s="11">
        <v>1.2</v>
      </c>
    </row>
    <row r="89" spans="1:16" s="10" customFormat="1" ht="25.5" x14ac:dyDescent="0.25">
      <c r="A89" s="11" t="s">
        <v>37</v>
      </c>
      <c r="B89" s="55"/>
      <c r="C89" s="11">
        <v>5</v>
      </c>
      <c r="D89" s="6">
        <v>100</v>
      </c>
      <c r="E89" s="11">
        <v>5</v>
      </c>
      <c r="F89" s="6">
        <v>100</v>
      </c>
      <c r="G89" s="11">
        <v>5</v>
      </c>
      <c r="H89" s="6">
        <v>100</v>
      </c>
      <c r="I89" s="11">
        <v>1.2</v>
      </c>
    </row>
    <row r="90" spans="1:16" s="10" customFormat="1" ht="72" hidden="1" customHeight="1" x14ac:dyDescent="0.25">
      <c r="A90" s="11"/>
      <c r="B90" s="36" t="s">
        <v>120</v>
      </c>
      <c r="C90" s="11"/>
      <c r="D90" s="6"/>
      <c r="E90" s="11"/>
      <c r="F90" s="6"/>
      <c r="G90" s="11"/>
      <c r="H90" s="6"/>
      <c r="I90" s="11"/>
      <c r="K90" s="10" t="s">
        <v>133</v>
      </c>
      <c r="M90" s="10">
        <v>605708.30000000005</v>
      </c>
      <c r="N90" s="10" t="s">
        <v>136</v>
      </c>
      <c r="O90" s="10">
        <v>43.6</v>
      </c>
    </row>
    <row r="91" spans="1:16" s="10" customFormat="1" ht="69" hidden="1" customHeight="1" x14ac:dyDescent="0.25">
      <c r="A91" s="11"/>
      <c r="B91" s="50"/>
      <c r="C91" s="11"/>
      <c r="D91" s="6"/>
      <c r="E91" s="11"/>
      <c r="F91" s="6"/>
      <c r="G91" s="11"/>
      <c r="H91" s="6"/>
      <c r="I91" s="11"/>
      <c r="K91" s="10" t="s">
        <v>134</v>
      </c>
      <c r="M91" s="10">
        <v>4446691.2</v>
      </c>
      <c r="N91" s="10">
        <f>M91-M93</f>
        <v>1612242.62</v>
      </c>
      <c r="O91" s="10">
        <f>N91*O90/1000</f>
        <v>70293.778232000011</v>
      </c>
    </row>
    <row r="92" spans="1:16" s="10" customFormat="1" ht="52.5" customHeight="1" x14ac:dyDescent="0.25">
      <c r="A92" s="11" t="s">
        <v>121</v>
      </c>
      <c r="B92" s="50"/>
      <c r="C92" s="11">
        <v>1</v>
      </c>
      <c r="D92" s="6">
        <v>313.97000000000003</v>
      </c>
      <c r="E92" s="11" t="s">
        <v>1</v>
      </c>
      <c r="F92" s="6" t="s">
        <v>1</v>
      </c>
      <c r="G92" s="11" t="s">
        <v>1</v>
      </c>
      <c r="H92" s="6" t="s">
        <v>1</v>
      </c>
      <c r="I92" s="11">
        <v>2</v>
      </c>
      <c r="K92" s="29" t="s">
        <v>132</v>
      </c>
      <c r="L92" s="29"/>
      <c r="M92" s="29">
        <v>1599017.1</v>
      </c>
      <c r="N92" s="29"/>
      <c r="O92" s="29">
        <f>M92*O90/1000</f>
        <v>69717.145560000004</v>
      </c>
      <c r="P92" s="30">
        <f>D90+D91</f>
        <v>0</v>
      </c>
    </row>
    <row r="93" spans="1:16" s="10" customFormat="1" ht="51" x14ac:dyDescent="0.25">
      <c r="A93" s="11" t="s">
        <v>122</v>
      </c>
      <c r="B93" s="50"/>
      <c r="C93" s="11">
        <v>1</v>
      </c>
      <c r="D93" s="6">
        <v>302.88</v>
      </c>
      <c r="E93" s="11" t="s">
        <v>1</v>
      </c>
      <c r="F93" s="6" t="s">
        <v>1</v>
      </c>
      <c r="G93" s="11" t="s">
        <v>1</v>
      </c>
      <c r="H93" s="6" t="s">
        <v>1</v>
      </c>
      <c r="I93" s="11">
        <v>2</v>
      </c>
      <c r="K93" s="29" t="s">
        <v>135</v>
      </c>
      <c r="L93" s="29"/>
      <c r="M93" s="29">
        <v>2834448.58</v>
      </c>
      <c r="N93" s="29"/>
      <c r="O93" s="29">
        <f>O91+O92</f>
        <v>140010.92379200002</v>
      </c>
      <c r="P93" s="29"/>
    </row>
    <row r="94" spans="1:16" s="10" customFormat="1" ht="51" x14ac:dyDescent="0.25">
      <c r="A94" s="11" t="s">
        <v>123</v>
      </c>
      <c r="B94" s="50"/>
      <c r="C94" s="11">
        <v>1</v>
      </c>
      <c r="D94" s="6">
        <v>2483.46</v>
      </c>
      <c r="E94" s="11" t="s">
        <v>1</v>
      </c>
      <c r="F94" s="6" t="s">
        <v>1</v>
      </c>
      <c r="G94" s="11" t="s">
        <v>1</v>
      </c>
      <c r="H94" s="6" t="s">
        <v>1</v>
      </c>
      <c r="I94" s="11">
        <v>1</v>
      </c>
      <c r="K94" s="29"/>
      <c r="L94" s="29"/>
      <c r="M94" s="29"/>
      <c r="N94" s="29"/>
      <c r="O94" s="29">
        <f>O93/1000</f>
        <v>140.01092379200003</v>
      </c>
      <c r="P94" s="29"/>
    </row>
    <row r="95" spans="1:16" s="10" customFormat="1" ht="25.5" x14ac:dyDescent="0.25">
      <c r="A95" s="11" t="s">
        <v>124</v>
      </c>
      <c r="B95" s="37"/>
      <c r="C95" s="11">
        <v>1</v>
      </c>
      <c r="D95" s="6">
        <v>2969.64</v>
      </c>
      <c r="E95" s="11" t="s">
        <v>1</v>
      </c>
      <c r="F95" s="6" t="s">
        <v>1</v>
      </c>
      <c r="G95" s="11" t="s">
        <v>1</v>
      </c>
      <c r="H95" s="6" t="s">
        <v>1</v>
      </c>
      <c r="I95" s="11">
        <v>1</v>
      </c>
      <c r="K95" s="29"/>
      <c r="L95" s="29"/>
      <c r="M95" s="29"/>
      <c r="N95" s="29"/>
      <c r="O95" s="29"/>
      <c r="P95" s="29"/>
    </row>
    <row r="96" spans="1:16" s="10" customFormat="1" ht="25.5" x14ac:dyDescent="0.25">
      <c r="A96" s="11" t="s">
        <v>31</v>
      </c>
      <c r="B96" s="36" t="s">
        <v>20</v>
      </c>
      <c r="C96" s="11">
        <v>8</v>
      </c>
      <c r="D96" s="6">
        <v>44</v>
      </c>
      <c r="E96" s="11" t="s">
        <v>1</v>
      </c>
      <c r="F96" s="6" t="s">
        <v>1</v>
      </c>
      <c r="G96" s="11" t="s">
        <v>1</v>
      </c>
      <c r="H96" s="6" t="s">
        <v>1</v>
      </c>
      <c r="I96" s="11">
        <v>1</v>
      </c>
    </row>
    <row r="97" spans="1:11" s="10" customFormat="1" x14ac:dyDescent="0.25">
      <c r="A97" s="11" t="s">
        <v>26</v>
      </c>
      <c r="B97" s="37"/>
      <c r="C97" s="11">
        <v>254</v>
      </c>
      <c r="D97" s="6">
        <v>228</v>
      </c>
      <c r="E97" s="11">
        <v>218</v>
      </c>
      <c r="F97" s="6">
        <v>286.2</v>
      </c>
      <c r="G97" s="11">
        <v>243</v>
      </c>
      <c r="H97" s="6">
        <v>218.7</v>
      </c>
      <c r="I97" s="11">
        <v>1</v>
      </c>
    </row>
    <row r="98" spans="1:11" s="10" customFormat="1" ht="25.5" x14ac:dyDescent="0.25">
      <c r="A98" s="11" t="s">
        <v>126</v>
      </c>
      <c r="B98" s="11" t="s">
        <v>125</v>
      </c>
      <c r="C98" s="11">
        <v>9</v>
      </c>
      <c r="D98" s="6">
        <v>570</v>
      </c>
      <c r="E98" s="11" t="s">
        <v>1</v>
      </c>
      <c r="F98" s="11" t="s">
        <v>1</v>
      </c>
      <c r="G98" s="6" t="s">
        <v>1</v>
      </c>
      <c r="H98" s="6" t="s">
        <v>1</v>
      </c>
      <c r="I98" s="11">
        <v>1</v>
      </c>
    </row>
    <row r="99" spans="1:11" s="10" customFormat="1" ht="25.5" x14ac:dyDescent="0.25">
      <c r="A99" s="11" t="s">
        <v>31</v>
      </c>
      <c r="B99" s="36" t="s">
        <v>127</v>
      </c>
      <c r="C99" s="11">
        <v>5</v>
      </c>
      <c r="D99" s="6">
        <v>54.5</v>
      </c>
      <c r="E99" s="11" t="s">
        <v>1</v>
      </c>
      <c r="F99" s="6" t="s">
        <v>1</v>
      </c>
      <c r="G99" s="11" t="s">
        <v>1</v>
      </c>
      <c r="H99" s="6" t="s">
        <v>1</v>
      </c>
      <c r="I99" s="11">
        <v>1</v>
      </c>
    </row>
    <row r="100" spans="1:11" s="10" customFormat="1" ht="25.5" x14ac:dyDescent="0.25">
      <c r="A100" s="11" t="s">
        <v>129</v>
      </c>
      <c r="B100" s="50"/>
      <c r="C100" s="11" t="s">
        <v>1</v>
      </c>
      <c r="D100" s="6" t="s">
        <v>1</v>
      </c>
      <c r="E100" s="11">
        <v>50</v>
      </c>
      <c r="F100" s="6">
        <v>50</v>
      </c>
      <c r="G100" s="11">
        <v>50</v>
      </c>
      <c r="H100" s="6">
        <v>140</v>
      </c>
      <c r="I100" s="11">
        <v>1</v>
      </c>
    </row>
    <row r="101" spans="1:11" s="10" customFormat="1" x14ac:dyDescent="0.25">
      <c r="A101" s="11" t="s">
        <v>128</v>
      </c>
      <c r="B101" s="50"/>
      <c r="C101" s="11" t="s">
        <v>1</v>
      </c>
      <c r="D101" s="6" t="s">
        <v>1</v>
      </c>
      <c r="E101" s="11">
        <v>100</v>
      </c>
      <c r="F101" s="6">
        <v>150</v>
      </c>
      <c r="G101" s="11" t="s">
        <v>1</v>
      </c>
      <c r="H101" s="6" t="s">
        <v>1</v>
      </c>
      <c r="I101" s="11">
        <v>1</v>
      </c>
    </row>
    <row r="102" spans="1:11" s="10" customFormat="1" x14ac:dyDescent="0.25">
      <c r="A102" s="11" t="s">
        <v>153</v>
      </c>
      <c r="B102" s="55" t="s">
        <v>22</v>
      </c>
      <c r="C102" s="11">
        <v>2.5</v>
      </c>
      <c r="D102" s="6">
        <v>1020</v>
      </c>
      <c r="E102" s="11">
        <v>2.2999999999999998</v>
      </c>
      <c r="F102" s="6">
        <v>1050</v>
      </c>
      <c r="G102" s="11">
        <v>2.5</v>
      </c>
      <c r="H102" s="6">
        <v>1100</v>
      </c>
      <c r="I102" s="11">
        <v>2</v>
      </c>
    </row>
    <row r="103" spans="1:11" s="10" customFormat="1" ht="25.5" x14ac:dyDescent="0.25">
      <c r="A103" s="11" t="s">
        <v>130</v>
      </c>
      <c r="B103" s="55"/>
      <c r="C103" s="11">
        <v>3</v>
      </c>
      <c r="D103" s="6">
        <v>2800</v>
      </c>
      <c r="E103" s="11">
        <v>3</v>
      </c>
      <c r="F103" s="6">
        <v>3000</v>
      </c>
      <c r="G103" s="11">
        <v>3</v>
      </c>
      <c r="H103" s="6">
        <v>3200</v>
      </c>
      <c r="I103" s="11">
        <v>2</v>
      </c>
    </row>
    <row r="104" spans="1:11" s="10" customFormat="1" ht="48.75" customHeight="1" x14ac:dyDescent="0.25">
      <c r="A104" s="11" t="s">
        <v>93</v>
      </c>
      <c r="B104" s="36" t="s">
        <v>131</v>
      </c>
      <c r="C104" s="11">
        <v>1</v>
      </c>
      <c r="D104" s="6">
        <v>1254.51</v>
      </c>
      <c r="E104" s="11" t="s">
        <v>1</v>
      </c>
      <c r="F104" s="6" t="s">
        <v>1</v>
      </c>
      <c r="G104" s="11" t="s">
        <v>1</v>
      </c>
      <c r="H104" s="6" t="s">
        <v>1</v>
      </c>
      <c r="I104" s="11">
        <v>2</v>
      </c>
    </row>
    <row r="105" spans="1:11" s="10" customFormat="1" ht="48.75" customHeight="1" x14ac:dyDescent="0.25">
      <c r="A105" s="11" t="s">
        <v>94</v>
      </c>
      <c r="B105" s="50"/>
      <c r="C105" s="11">
        <v>1</v>
      </c>
      <c r="D105" s="6">
        <v>22.84</v>
      </c>
      <c r="E105" s="11" t="s">
        <v>1</v>
      </c>
      <c r="F105" s="6" t="s">
        <v>1</v>
      </c>
      <c r="G105" s="11" t="s">
        <v>1</v>
      </c>
      <c r="H105" s="6" t="s">
        <v>1</v>
      </c>
      <c r="I105" s="11">
        <v>2</v>
      </c>
    </row>
    <row r="106" spans="1:11" s="10" customFormat="1" ht="63" customHeight="1" x14ac:dyDescent="0.25">
      <c r="A106" s="11" t="s">
        <v>154</v>
      </c>
      <c r="B106" s="50"/>
      <c r="C106" s="11" t="s">
        <v>1</v>
      </c>
      <c r="D106" s="6" t="s">
        <v>1</v>
      </c>
      <c r="E106" s="11" t="s">
        <v>1</v>
      </c>
      <c r="F106" s="6" t="s">
        <v>1</v>
      </c>
      <c r="G106" s="28"/>
      <c r="H106" s="28">
        <v>10700</v>
      </c>
      <c r="I106" s="11">
        <v>1.3</v>
      </c>
      <c r="K106" s="29">
        <f>45+50+40+140+2+6+10</f>
        <v>293</v>
      </c>
    </row>
    <row r="107" spans="1:11" s="10" customFormat="1" ht="63" customHeight="1" x14ac:dyDescent="0.25">
      <c r="A107" s="11" t="s">
        <v>156</v>
      </c>
      <c r="B107" s="50"/>
      <c r="C107" s="11" t="s">
        <v>1</v>
      </c>
      <c r="D107" s="6" t="s">
        <v>1</v>
      </c>
      <c r="E107" s="16">
        <v>1</v>
      </c>
      <c r="F107" s="16">
        <v>16200</v>
      </c>
      <c r="G107" s="11" t="s">
        <v>1</v>
      </c>
      <c r="H107" s="6" t="s">
        <v>1</v>
      </c>
      <c r="I107" s="11">
        <v>1.3</v>
      </c>
    </row>
    <row r="108" spans="1:11" s="10" customFormat="1" ht="51" x14ac:dyDescent="0.25">
      <c r="A108" s="11" t="s">
        <v>95</v>
      </c>
      <c r="B108" s="50"/>
      <c r="C108" s="11">
        <v>1</v>
      </c>
      <c r="D108" s="6">
        <v>22.84</v>
      </c>
      <c r="E108" s="11" t="s">
        <v>1</v>
      </c>
      <c r="F108" s="6" t="s">
        <v>1</v>
      </c>
      <c r="G108" s="11" t="s">
        <v>1</v>
      </c>
      <c r="H108" s="11" t="s">
        <v>1</v>
      </c>
      <c r="I108" s="11">
        <v>2</v>
      </c>
    </row>
    <row r="109" spans="1:11" s="10" customFormat="1" ht="63" customHeight="1" x14ac:dyDescent="0.25">
      <c r="A109" s="11" t="s">
        <v>155</v>
      </c>
      <c r="B109" s="50"/>
      <c r="C109" s="16">
        <v>1</v>
      </c>
      <c r="D109" s="11">
        <v>25000</v>
      </c>
      <c r="E109" s="11" t="s">
        <v>1</v>
      </c>
      <c r="F109" s="6" t="s">
        <v>1</v>
      </c>
      <c r="G109" s="11" t="s">
        <v>1</v>
      </c>
      <c r="H109" s="11" t="s">
        <v>1</v>
      </c>
      <c r="I109" s="11">
        <v>1.3</v>
      </c>
    </row>
    <row r="110" spans="1:11" s="10" customFormat="1" ht="76.5" x14ac:dyDescent="0.25">
      <c r="A110" s="11" t="s">
        <v>96</v>
      </c>
      <c r="B110" s="50"/>
      <c r="C110" s="16" t="s">
        <v>1</v>
      </c>
      <c r="D110" s="16" t="s">
        <v>1</v>
      </c>
      <c r="E110" s="11">
        <v>1</v>
      </c>
      <c r="F110" s="6">
        <v>4212</v>
      </c>
      <c r="G110" s="11" t="s">
        <v>1</v>
      </c>
      <c r="H110" s="11" t="s">
        <v>1</v>
      </c>
      <c r="I110" s="11">
        <v>1.3</v>
      </c>
    </row>
    <row r="111" spans="1:11" s="10" customFormat="1" ht="63.75" x14ac:dyDescent="0.25">
      <c r="A111" s="11" t="s">
        <v>97</v>
      </c>
      <c r="B111" s="37"/>
      <c r="C111" s="16">
        <v>1</v>
      </c>
      <c r="D111" s="6">
        <v>2523</v>
      </c>
      <c r="E111" s="11" t="s">
        <v>1</v>
      </c>
      <c r="F111" s="6" t="s">
        <v>1</v>
      </c>
      <c r="G111" s="11" t="s">
        <v>1</v>
      </c>
      <c r="H111" s="11" t="s">
        <v>1</v>
      </c>
      <c r="I111" s="11">
        <v>1.3</v>
      </c>
    </row>
    <row r="112" spans="1:11" s="10" customFormat="1" ht="25.5" x14ac:dyDescent="0.25">
      <c r="A112" s="11" t="s">
        <v>31</v>
      </c>
      <c r="B112" s="11" t="s">
        <v>23</v>
      </c>
      <c r="C112" s="11">
        <v>9</v>
      </c>
      <c r="D112" s="6">
        <f>C112*2*3.5</f>
        <v>63</v>
      </c>
      <c r="E112" s="11">
        <v>9</v>
      </c>
      <c r="F112" s="6">
        <f>E112*2*3.5</f>
        <v>63</v>
      </c>
      <c r="G112" s="11">
        <v>8</v>
      </c>
      <c r="H112" s="6">
        <f>G112*2*3.5</f>
        <v>56</v>
      </c>
      <c r="I112" s="11">
        <v>1</v>
      </c>
    </row>
    <row r="113" spans="1:15" s="10" customFormat="1" ht="74.099999999999994" customHeight="1" x14ac:dyDescent="0.25">
      <c r="A113" s="11" t="s">
        <v>158</v>
      </c>
      <c r="B113" s="11" t="s">
        <v>157</v>
      </c>
      <c r="C113" s="56" t="s">
        <v>159</v>
      </c>
      <c r="D113" s="57"/>
      <c r="E113" s="57"/>
      <c r="F113" s="57"/>
      <c r="G113" s="57"/>
      <c r="H113" s="58"/>
      <c r="I113" s="11">
        <v>1.3</v>
      </c>
    </row>
    <row r="114" spans="1:15" x14ac:dyDescent="0.25">
      <c r="A114" s="2" t="s">
        <v>2</v>
      </c>
      <c r="B114" s="2"/>
      <c r="C114" s="2"/>
      <c r="D114" s="3">
        <f>SUM(D78:D112)</f>
        <v>42249.64</v>
      </c>
      <c r="E114" s="3"/>
      <c r="F114" s="3">
        <f>SUM(F78:F112)</f>
        <v>28038.2</v>
      </c>
      <c r="G114" s="3"/>
      <c r="H114" s="3">
        <f>SUM(H78:H112)</f>
        <v>17873.7</v>
      </c>
      <c r="I114" s="3">
        <f>D114+F114+H114</f>
        <v>88161.54</v>
      </c>
    </row>
    <row r="115" spans="1:15" x14ac:dyDescent="0.25">
      <c r="A115" s="2" t="s">
        <v>8</v>
      </c>
      <c r="B115" s="2"/>
      <c r="C115" s="2"/>
      <c r="D115" s="3">
        <f>D18+D33+D38+D45+D55+D63+D76+D114</f>
        <v>75129.794999999998</v>
      </c>
      <c r="E115" s="3"/>
      <c r="F115" s="3">
        <f>F18+F33+F38+F45+F55+F63+F76+F114</f>
        <v>58808.505000000005</v>
      </c>
      <c r="G115" s="3"/>
      <c r="H115" s="3">
        <f>H18+H33+H38+H45+H55+H63+H76+H114</f>
        <v>38855.195</v>
      </c>
      <c r="I115" s="3">
        <f>D115+F115+H115</f>
        <v>172793.495</v>
      </c>
    </row>
    <row r="116" spans="1:15" ht="5.25" customHeight="1" x14ac:dyDescent="0.25">
      <c r="A116" s="7"/>
      <c r="B116" s="7"/>
      <c r="C116" s="7"/>
      <c r="D116" s="8"/>
      <c r="E116" s="8"/>
      <c r="F116" s="8"/>
      <c r="G116" s="8"/>
      <c r="H116" s="8"/>
      <c r="I116" s="8"/>
    </row>
    <row r="117" spans="1:15" s="19" customFormat="1" ht="15.75" x14ac:dyDescent="0.25">
      <c r="A117" s="53" t="s">
        <v>142</v>
      </c>
      <c r="B117" s="53"/>
    </row>
    <row r="118" spans="1:15" s="19" customFormat="1" ht="15.75" x14ac:dyDescent="0.25">
      <c r="A118" s="53" t="s">
        <v>143</v>
      </c>
      <c r="B118" s="53"/>
    </row>
    <row r="119" spans="1:15" s="19" customFormat="1" ht="15.75" x14ac:dyDescent="0.25">
      <c r="A119" s="53" t="s">
        <v>144</v>
      </c>
      <c r="B119" s="53"/>
      <c r="H119" s="54" t="s">
        <v>141</v>
      </c>
      <c r="I119" s="54"/>
    </row>
    <row r="120" spans="1:15" s="17" customFormat="1" ht="15.75" x14ac:dyDescent="0.25">
      <c r="A120" s="18"/>
    </row>
    <row r="121" spans="1:15" s="17" customFormat="1" ht="15.75" x14ac:dyDescent="0.25">
      <c r="A121" s="18"/>
      <c r="O121" s="18"/>
    </row>
    <row r="122" spans="1:15" ht="63" customHeight="1" x14ac:dyDescent="0.25">
      <c r="A122" s="7"/>
      <c r="B122" s="43" t="s">
        <v>149</v>
      </c>
      <c r="C122" s="48" t="s">
        <v>150</v>
      </c>
      <c r="D122" s="45" t="s">
        <v>145</v>
      </c>
      <c r="E122" s="46"/>
      <c r="F122" s="46"/>
      <c r="G122" s="46"/>
      <c r="H122" s="47"/>
      <c r="I122" s="8"/>
    </row>
    <row r="123" spans="1:15" ht="15.75" x14ac:dyDescent="0.25">
      <c r="B123" s="44"/>
      <c r="C123" s="49"/>
      <c r="D123" s="24">
        <v>2025</v>
      </c>
      <c r="E123" s="22"/>
      <c r="F123" s="24">
        <v>2026</v>
      </c>
      <c r="G123" s="22"/>
      <c r="H123" s="24">
        <v>2027</v>
      </c>
    </row>
    <row r="124" spans="1:15" ht="47.25" x14ac:dyDescent="0.25">
      <c r="B124" s="23" t="s">
        <v>146</v>
      </c>
      <c r="C124" s="25">
        <f>D124+F124+H124</f>
        <v>128218.27500000001</v>
      </c>
      <c r="D124" s="25">
        <f>D16+D17+D22/2+D23+D24+D25+D27+D28/2+D27+D28/2+D29+D30+D35+D36+D37+D40+D41+D42+D50+D52+D54+D57+D58+D59+D60+D61+D65+D66+D67+D68+D69+D70+D72/2+D78+D79+D80+D81+D82+D83+D84+D86+D87+D88/2+D89/2+D94+D95+D96+D97+D99+D90+D91+D111*0.2+D112+D73+D75+D98+D109</f>
        <v>65479.125</v>
      </c>
      <c r="E124" s="26"/>
      <c r="F124" s="26">
        <f>F12+F13+F14+F15+F16+F22/2+F23+F24+F25+F28/2+F29+F32+F35+F40+F41+F42+F43+F44+F49+F57+F58+F59+F62+F72/2+F66+F67+F70+F71+F79+F81+F82+F83+F84+F85+F86+F87+F88/2+F89/2+F97+F100+F101+F107*0.2+F110*0.2+F112+F74</f>
        <v>31997.674999999999</v>
      </c>
      <c r="G124" s="26"/>
      <c r="H124" s="26">
        <f>H12+H14+H16+H22/2+H23+H24+H25+H28/2+H29+H35+H40+H41+H42+H51+H57+H58+H59+H66+H67+H70++H72/2+H79+H83+H84+H86+H87+H88/2+H89/2+H97+D98+H100+H112+H106</f>
        <v>30741.475000000002</v>
      </c>
      <c r="I124" s="32">
        <f>SUM(D124:H124)</f>
        <v>128218.27500000001</v>
      </c>
    </row>
    <row r="125" spans="1:15" ht="31.5" x14ac:dyDescent="0.25">
      <c r="B125" s="23" t="s">
        <v>147</v>
      </c>
      <c r="C125" s="25">
        <f t="shared" ref="C125:C126" si="4">D125+F125+H125</f>
        <v>44575.22</v>
      </c>
      <c r="D125" s="25">
        <f>D115-D124</f>
        <v>9650.6699999999983</v>
      </c>
      <c r="E125" s="26"/>
      <c r="F125" s="25">
        <f>F115-F124</f>
        <v>26810.830000000005</v>
      </c>
      <c r="G125" s="26"/>
      <c r="H125" s="25">
        <f>H115-H124</f>
        <v>8113.7199999999975</v>
      </c>
      <c r="I125" s="32">
        <f>SUM(D125:H125)</f>
        <v>44575.22</v>
      </c>
    </row>
    <row r="126" spans="1:15" ht="15.75" x14ac:dyDescent="0.25">
      <c r="B126" s="21" t="s">
        <v>148</v>
      </c>
      <c r="C126" s="25">
        <f t="shared" si="4"/>
        <v>172793.495</v>
      </c>
      <c r="D126" s="25">
        <f>SUM(D124:D125)</f>
        <v>75129.794999999998</v>
      </c>
      <c r="E126" s="25"/>
      <c r="F126" s="25">
        <f t="shared" ref="F126:H126" si="5">SUM(F124:F125)</f>
        <v>58808.505000000005</v>
      </c>
      <c r="G126" s="25"/>
      <c r="H126" s="25">
        <f t="shared" si="5"/>
        <v>38855.195</v>
      </c>
      <c r="I126" s="32">
        <f>SUM(D126:H126)</f>
        <v>172793.495</v>
      </c>
    </row>
    <row r="129" spans="2:9" x14ac:dyDescent="0.25">
      <c r="I129" s="9" t="s">
        <v>137</v>
      </c>
    </row>
    <row r="130" spans="2:9" ht="63" customHeight="1" x14ac:dyDescent="0.25"/>
    <row r="131" spans="2:9" ht="18.75" x14ac:dyDescent="0.25">
      <c r="B131" s="20"/>
    </row>
  </sheetData>
  <mergeCells count="36">
    <mergeCell ref="H1:I1"/>
    <mergeCell ref="A3:I3"/>
    <mergeCell ref="A117:B117"/>
    <mergeCell ref="A118:B118"/>
    <mergeCell ref="A119:B119"/>
    <mergeCell ref="H119:I119"/>
    <mergeCell ref="A46:I46"/>
    <mergeCell ref="B78:B87"/>
    <mergeCell ref="B88:B89"/>
    <mergeCell ref="B102:B103"/>
    <mergeCell ref="B71:B72"/>
    <mergeCell ref="A56:I56"/>
    <mergeCell ref="A64:I64"/>
    <mergeCell ref="C113:H113"/>
    <mergeCell ref="B96:B97"/>
    <mergeCell ref="B90:B95"/>
    <mergeCell ref="B122:B123"/>
    <mergeCell ref="D122:H122"/>
    <mergeCell ref="C122:C123"/>
    <mergeCell ref="B104:B111"/>
    <mergeCell ref="B99:B101"/>
    <mergeCell ref="A39:I39"/>
    <mergeCell ref="B69:B70"/>
    <mergeCell ref="A77:I77"/>
    <mergeCell ref="B66:B67"/>
    <mergeCell ref="I5:I6"/>
    <mergeCell ref="A7:I7"/>
    <mergeCell ref="A11:I11"/>
    <mergeCell ref="A19:I19"/>
    <mergeCell ref="A34:I34"/>
    <mergeCell ref="A5:A6"/>
    <mergeCell ref="B5:B6"/>
    <mergeCell ref="C5:D5"/>
    <mergeCell ref="E5:F5"/>
    <mergeCell ref="G5:H5"/>
    <mergeCell ref="B73:B75"/>
  </mergeCells>
  <phoneticPr fontId="8" type="noConversion"/>
  <pageMargins left="0.59055118110236227" right="0.39370078740157483" top="1.1811023622047245" bottom="0.39370078740157483" header="0.31496062992125984" footer="0.31496062992125984"/>
  <pageSetup paperSize="9" scale="81" orientation="landscape" horizontalDpi="300" verticalDpi="300" r:id="rId1"/>
  <rowBreaks count="4" manualBreakCount="4">
    <brk id="21" max="8" man="1"/>
    <brk id="35" max="8" man="1"/>
    <brk id="104" max="8" man="1"/>
    <brk id="119" max="8" man="1"/>
  </rowBreaks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Заходи на 2025-2027 роки</vt:lpstr>
      <vt:lpstr>'Заходи на 2025-2027 роки'!Область_друку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Жицька Ольга Олександрівна</dc:creator>
  <cp:lastModifiedBy>Потапов Антон Леонідович</cp:lastModifiedBy>
  <cp:lastPrinted>2024-11-28T06:46:10Z</cp:lastPrinted>
  <dcterms:created xsi:type="dcterms:W3CDTF">2021-09-13T06:38:24Z</dcterms:created>
  <dcterms:modified xsi:type="dcterms:W3CDTF">2024-11-28T06:50:46Z</dcterms:modified>
</cp:coreProperties>
</file>